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\users\dfussell\Desktop\"/>
    </mc:Choice>
  </mc:AlternateContent>
  <bookViews>
    <workbookView xWindow="120" yWindow="36" windowWidth="24912" windowHeight="12228" firstSheet="2" activeTab="3"/>
  </bookViews>
  <sheets>
    <sheet name="Planning Allocations" sheetId="1" r:id="rId1"/>
    <sheet name="DW Alloc. by WDA - Mitigation 3" sheetId="2" r:id="rId2"/>
    <sheet name="DW Alloc. by WDA - Oct Mit." sheetId="3" r:id="rId3"/>
    <sheet name="DW Allocation Summary- $2M Mit." sheetId="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D47" i="4" l="1"/>
  <c r="C46" i="4"/>
  <c r="D45" i="4"/>
  <c r="D42" i="4"/>
  <c r="C40" i="4"/>
  <c r="D39" i="4"/>
  <c r="C36" i="4"/>
  <c r="E31" i="4"/>
  <c r="D31" i="4" s="1"/>
  <c r="C31" i="4" s="1"/>
  <c r="E30" i="4"/>
  <c r="D30" i="4" s="1"/>
  <c r="C30" i="4" s="1"/>
  <c r="E29" i="4"/>
  <c r="D29" i="4" s="1"/>
  <c r="C29" i="4" s="1"/>
  <c r="E28" i="4"/>
  <c r="D28" i="4" s="1"/>
  <c r="C28" i="4" s="1"/>
  <c r="E27" i="4"/>
  <c r="D27" i="4" s="1"/>
  <c r="C27" i="4" s="1"/>
  <c r="E26" i="4"/>
  <c r="D26" i="4" s="1"/>
  <c r="C26" i="4" s="1"/>
  <c r="E25" i="4"/>
  <c r="D25" i="4" s="1"/>
  <c r="C25" i="4" s="1"/>
  <c r="E24" i="4"/>
  <c r="D24" i="4"/>
  <c r="C24" i="4" s="1"/>
  <c r="E23" i="4"/>
  <c r="D23" i="4" s="1"/>
  <c r="C23" i="4" s="1"/>
  <c r="E22" i="4"/>
  <c r="D22" i="4"/>
  <c r="C22" i="4" s="1"/>
  <c r="E21" i="4"/>
  <c r="D21" i="4" s="1"/>
  <c r="C21" i="4" s="1"/>
  <c r="E20" i="4"/>
  <c r="E15" i="4"/>
  <c r="D15" i="4"/>
  <c r="C15" i="4" s="1"/>
  <c r="E14" i="4"/>
  <c r="D14" i="4" s="1"/>
  <c r="C14" i="4" s="1"/>
  <c r="E13" i="4"/>
  <c r="D13" i="4"/>
  <c r="C13" i="4" s="1"/>
  <c r="E12" i="4"/>
  <c r="E44" i="4" s="1"/>
  <c r="E11" i="4"/>
  <c r="D11" i="4" s="1"/>
  <c r="C11" i="4" s="1"/>
  <c r="E10" i="4"/>
  <c r="D10" i="4" s="1"/>
  <c r="C10" i="4" s="1"/>
  <c r="E9" i="4"/>
  <c r="D9" i="4" s="1"/>
  <c r="C9" i="4" s="1"/>
  <c r="E8" i="4"/>
  <c r="D8" i="4" s="1"/>
  <c r="C8" i="4" s="1"/>
  <c r="E7" i="4"/>
  <c r="D7" i="4"/>
  <c r="C7" i="4" s="1"/>
  <c r="E6" i="4"/>
  <c r="E38" i="4" s="1"/>
  <c r="C38" i="4" s="1"/>
  <c r="E5" i="4"/>
  <c r="D5" i="4"/>
  <c r="C5" i="4" s="1"/>
  <c r="E4" i="4"/>
  <c r="D4" i="4" s="1"/>
  <c r="C1" i="4"/>
  <c r="G48" i="3"/>
  <c r="H48" i="3" s="1"/>
  <c r="E48" i="3"/>
  <c r="F48" i="3" s="1"/>
  <c r="C48" i="3"/>
  <c r="D48" i="3" s="1"/>
  <c r="G47" i="3"/>
  <c r="H47" i="3" s="1"/>
  <c r="E47" i="3"/>
  <c r="F47" i="3" s="1"/>
  <c r="C47" i="3"/>
  <c r="D47" i="3" s="1"/>
  <c r="H46" i="3"/>
  <c r="G46" i="3"/>
  <c r="E46" i="3"/>
  <c r="F46" i="3" s="1"/>
  <c r="D46" i="3"/>
  <c r="C46" i="3"/>
  <c r="G45" i="3"/>
  <c r="H45" i="3" s="1"/>
  <c r="F45" i="3"/>
  <c r="E45" i="3"/>
  <c r="C45" i="3"/>
  <c r="D45" i="3" s="1"/>
  <c r="H44" i="3"/>
  <c r="G44" i="3"/>
  <c r="E44" i="3"/>
  <c r="F44" i="3" s="1"/>
  <c r="D44" i="3"/>
  <c r="C44" i="3"/>
  <c r="G43" i="3"/>
  <c r="H43" i="3" s="1"/>
  <c r="F43" i="3"/>
  <c r="E43" i="3"/>
  <c r="C43" i="3"/>
  <c r="D43" i="3" s="1"/>
  <c r="H42" i="3"/>
  <c r="G42" i="3"/>
  <c r="E42" i="3"/>
  <c r="F42" i="3" s="1"/>
  <c r="D42" i="3"/>
  <c r="C42" i="3"/>
  <c r="G41" i="3"/>
  <c r="H41" i="3" s="1"/>
  <c r="F41" i="3"/>
  <c r="E41" i="3"/>
  <c r="C41" i="3"/>
  <c r="D41" i="3" s="1"/>
  <c r="H40" i="3"/>
  <c r="G40" i="3"/>
  <c r="E40" i="3"/>
  <c r="F40" i="3" s="1"/>
  <c r="D40" i="3"/>
  <c r="C40" i="3"/>
  <c r="G39" i="3"/>
  <c r="H39" i="3" s="1"/>
  <c r="F39" i="3"/>
  <c r="E39" i="3"/>
  <c r="C39" i="3"/>
  <c r="D39" i="3" s="1"/>
  <c r="H38" i="3"/>
  <c r="G38" i="3"/>
  <c r="E38" i="3"/>
  <c r="F38" i="3" s="1"/>
  <c r="C38" i="3"/>
  <c r="D38" i="3" s="1"/>
  <c r="G37" i="3"/>
  <c r="G49" i="3" s="1"/>
  <c r="E37" i="3"/>
  <c r="E49" i="3" s="1"/>
  <c r="C37" i="3"/>
  <c r="G32" i="3"/>
  <c r="H32" i="3" s="1"/>
  <c r="E32" i="3"/>
  <c r="F32" i="3" s="1"/>
  <c r="C32" i="3"/>
  <c r="D32" i="3" s="1"/>
  <c r="G31" i="3"/>
  <c r="H31" i="3" s="1"/>
  <c r="E31" i="3"/>
  <c r="F31" i="3" s="1"/>
  <c r="C31" i="3"/>
  <c r="D31" i="3" s="1"/>
  <c r="G30" i="3"/>
  <c r="H30" i="3" s="1"/>
  <c r="E30" i="3"/>
  <c r="F30" i="3" s="1"/>
  <c r="C30" i="3"/>
  <c r="D30" i="3" s="1"/>
  <c r="G29" i="3"/>
  <c r="H29" i="3" s="1"/>
  <c r="E29" i="3"/>
  <c r="F29" i="3" s="1"/>
  <c r="C29" i="3"/>
  <c r="D29" i="3" s="1"/>
  <c r="G28" i="3"/>
  <c r="H28" i="3" s="1"/>
  <c r="E28" i="3"/>
  <c r="F28" i="3" s="1"/>
  <c r="C28" i="3"/>
  <c r="D28" i="3" s="1"/>
  <c r="G27" i="3"/>
  <c r="H27" i="3" s="1"/>
  <c r="E27" i="3"/>
  <c r="F27" i="3" s="1"/>
  <c r="D27" i="3"/>
  <c r="C27" i="3"/>
  <c r="G26" i="3"/>
  <c r="H26" i="3" s="1"/>
  <c r="E26" i="3"/>
  <c r="F26" i="3" s="1"/>
  <c r="C26" i="3"/>
  <c r="D26" i="3" s="1"/>
  <c r="G25" i="3"/>
  <c r="H25" i="3" s="1"/>
  <c r="E25" i="3"/>
  <c r="F25" i="3" s="1"/>
  <c r="C25" i="3"/>
  <c r="D25" i="3" s="1"/>
  <c r="G24" i="3"/>
  <c r="H24" i="3" s="1"/>
  <c r="E24" i="3"/>
  <c r="F24" i="3" s="1"/>
  <c r="C24" i="3"/>
  <c r="D24" i="3" s="1"/>
  <c r="G23" i="3"/>
  <c r="H23" i="3" s="1"/>
  <c r="E23" i="3"/>
  <c r="F23" i="3" s="1"/>
  <c r="C23" i="3"/>
  <c r="D23" i="3" s="1"/>
  <c r="G22" i="3"/>
  <c r="H22" i="3" s="1"/>
  <c r="E22" i="3"/>
  <c r="F22" i="3" s="1"/>
  <c r="C22" i="3"/>
  <c r="D22" i="3" s="1"/>
  <c r="G21" i="3"/>
  <c r="E21" i="3"/>
  <c r="E33" i="3" s="1"/>
  <c r="C21" i="3"/>
  <c r="G17" i="3"/>
  <c r="G16" i="3"/>
  <c r="H16" i="3" s="1"/>
  <c r="H15" i="3"/>
  <c r="G15" i="3"/>
  <c r="G14" i="3"/>
  <c r="H14" i="3" s="1"/>
  <c r="H13" i="3"/>
  <c r="G13" i="3"/>
  <c r="G12" i="3"/>
  <c r="H12" i="3" s="1"/>
  <c r="H11" i="3"/>
  <c r="G11" i="3"/>
  <c r="G10" i="3"/>
  <c r="H10" i="3" s="1"/>
  <c r="H9" i="3"/>
  <c r="G9" i="3"/>
  <c r="G8" i="3"/>
  <c r="H8" i="3" s="1"/>
  <c r="H7" i="3"/>
  <c r="G7" i="3"/>
  <c r="G6" i="3"/>
  <c r="H6" i="3" s="1"/>
  <c r="H5" i="3"/>
  <c r="G5" i="3"/>
  <c r="H1" i="3"/>
  <c r="E1" i="3"/>
  <c r="C1" i="3"/>
  <c r="G48" i="2"/>
  <c r="H48" i="2" s="1"/>
  <c r="E48" i="2"/>
  <c r="F48" i="2" s="1"/>
  <c r="C48" i="2"/>
  <c r="D48" i="2" s="1"/>
  <c r="G47" i="2"/>
  <c r="H47" i="2" s="1"/>
  <c r="E47" i="2"/>
  <c r="F47" i="2" s="1"/>
  <c r="C47" i="2"/>
  <c r="D47" i="2" s="1"/>
  <c r="G46" i="2"/>
  <c r="H46" i="2" s="1"/>
  <c r="E46" i="2"/>
  <c r="F46" i="2" s="1"/>
  <c r="C46" i="2"/>
  <c r="D46" i="2" s="1"/>
  <c r="G45" i="2"/>
  <c r="H45" i="2" s="1"/>
  <c r="E45" i="2"/>
  <c r="F45" i="2" s="1"/>
  <c r="C45" i="2"/>
  <c r="D45" i="2" s="1"/>
  <c r="G44" i="2"/>
  <c r="H44" i="2" s="1"/>
  <c r="E44" i="2"/>
  <c r="F44" i="2" s="1"/>
  <c r="C44" i="2"/>
  <c r="D44" i="2" s="1"/>
  <c r="G43" i="2"/>
  <c r="H43" i="2" s="1"/>
  <c r="E43" i="2"/>
  <c r="F43" i="2" s="1"/>
  <c r="C43" i="2"/>
  <c r="D43" i="2" s="1"/>
  <c r="G42" i="2"/>
  <c r="H42" i="2" s="1"/>
  <c r="E42" i="2"/>
  <c r="F42" i="2" s="1"/>
  <c r="C42" i="2"/>
  <c r="D42" i="2" s="1"/>
  <c r="G41" i="2"/>
  <c r="H41" i="2" s="1"/>
  <c r="E41" i="2"/>
  <c r="F41" i="2" s="1"/>
  <c r="C41" i="2"/>
  <c r="D41" i="2" s="1"/>
  <c r="G40" i="2"/>
  <c r="H40" i="2" s="1"/>
  <c r="E40" i="2"/>
  <c r="F40" i="2" s="1"/>
  <c r="C40" i="2"/>
  <c r="D40" i="2" s="1"/>
  <c r="G39" i="2"/>
  <c r="H39" i="2" s="1"/>
  <c r="E39" i="2"/>
  <c r="F39" i="2" s="1"/>
  <c r="C39" i="2"/>
  <c r="D39" i="2" s="1"/>
  <c r="G38" i="2"/>
  <c r="H38" i="2" s="1"/>
  <c r="E38" i="2"/>
  <c r="F38" i="2" s="1"/>
  <c r="C38" i="2"/>
  <c r="D38" i="2" s="1"/>
  <c r="G37" i="2"/>
  <c r="E37" i="2"/>
  <c r="C37" i="2"/>
  <c r="C49" i="2" s="1"/>
  <c r="G32" i="2"/>
  <c r="H32" i="2" s="1"/>
  <c r="E32" i="2"/>
  <c r="F32" i="2" s="1"/>
  <c r="C32" i="2"/>
  <c r="D32" i="2" s="1"/>
  <c r="G31" i="2"/>
  <c r="H31" i="2" s="1"/>
  <c r="E31" i="2"/>
  <c r="F31" i="2" s="1"/>
  <c r="C31" i="2"/>
  <c r="D31" i="2" s="1"/>
  <c r="G30" i="2"/>
  <c r="H30" i="2" s="1"/>
  <c r="E30" i="2"/>
  <c r="F30" i="2" s="1"/>
  <c r="C30" i="2"/>
  <c r="D30" i="2" s="1"/>
  <c r="G29" i="2"/>
  <c r="H29" i="2" s="1"/>
  <c r="E29" i="2"/>
  <c r="F29" i="2" s="1"/>
  <c r="C29" i="2"/>
  <c r="D29" i="2" s="1"/>
  <c r="G28" i="2"/>
  <c r="H28" i="2" s="1"/>
  <c r="E28" i="2"/>
  <c r="F28" i="2" s="1"/>
  <c r="C28" i="2"/>
  <c r="D28" i="2" s="1"/>
  <c r="G27" i="2"/>
  <c r="H27" i="2" s="1"/>
  <c r="E27" i="2"/>
  <c r="F27" i="2" s="1"/>
  <c r="C27" i="2"/>
  <c r="D27" i="2" s="1"/>
  <c r="G26" i="2"/>
  <c r="H26" i="2" s="1"/>
  <c r="E26" i="2"/>
  <c r="F26" i="2" s="1"/>
  <c r="C26" i="2"/>
  <c r="D26" i="2" s="1"/>
  <c r="G25" i="2"/>
  <c r="H25" i="2" s="1"/>
  <c r="E25" i="2"/>
  <c r="F25" i="2" s="1"/>
  <c r="C25" i="2"/>
  <c r="D25" i="2" s="1"/>
  <c r="G24" i="2"/>
  <c r="H24" i="2" s="1"/>
  <c r="E24" i="2"/>
  <c r="F24" i="2" s="1"/>
  <c r="C24" i="2"/>
  <c r="D24" i="2" s="1"/>
  <c r="G23" i="2"/>
  <c r="H23" i="2" s="1"/>
  <c r="E23" i="2"/>
  <c r="F23" i="2" s="1"/>
  <c r="C23" i="2"/>
  <c r="D23" i="2" s="1"/>
  <c r="G22" i="2"/>
  <c r="H22" i="2" s="1"/>
  <c r="E22" i="2"/>
  <c r="F22" i="2" s="1"/>
  <c r="C22" i="2"/>
  <c r="D22" i="2" s="1"/>
  <c r="G21" i="2"/>
  <c r="E21" i="2"/>
  <c r="C21" i="2"/>
  <c r="C33" i="2" s="1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F4" i="2"/>
  <c r="H16" i="2" s="1"/>
  <c r="H1" i="2"/>
  <c r="E1" i="2"/>
  <c r="B1" i="2"/>
  <c r="C38" i="1"/>
  <c r="C37" i="1"/>
  <c r="C41" i="1" s="1"/>
  <c r="C33" i="1"/>
  <c r="C35" i="1" s="1"/>
  <c r="C32" i="1"/>
  <c r="C29" i="1"/>
  <c r="C31" i="1" s="1"/>
  <c r="E23" i="1"/>
  <c r="B23" i="1"/>
  <c r="B22" i="1"/>
  <c r="B21" i="1"/>
  <c r="B20" i="1"/>
  <c r="E19" i="1"/>
  <c r="D19" i="1"/>
  <c r="C19" i="1"/>
  <c r="C24" i="1" s="1"/>
  <c r="C16" i="1"/>
  <c r="B16" i="1"/>
  <c r="B15" i="1"/>
  <c r="B14" i="1"/>
  <c r="D13" i="1"/>
  <c r="D14" i="1" s="1"/>
  <c r="C14" i="1" s="1"/>
  <c r="C13" i="1"/>
  <c r="B9" i="1"/>
  <c r="B8" i="1"/>
  <c r="E7" i="1"/>
  <c r="E10" i="1" s="1"/>
  <c r="C10" i="1" s="1"/>
  <c r="D7" i="1"/>
  <c r="D9" i="1" s="1"/>
  <c r="C7" i="1"/>
  <c r="C1" i="1"/>
  <c r="C33" i="3" l="1"/>
  <c r="D9" i="3"/>
  <c r="D12" i="3"/>
  <c r="E32" i="4"/>
  <c r="D24" i="1"/>
  <c r="C34" i="1"/>
  <c r="C40" i="1"/>
  <c r="E33" i="2"/>
  <c r="E49" i="2"/>
  <c r="G33" i="3"/>
  <c r="D7" i="3"/>
  <c r="D14" i="3"/>
  <c r="E24" i="1"/>
  <c r="E22" i="1"/>
  <c r="C22" i="1" s="1"/>
  <c r="C30" i="1"/>
  <c r="C36" i="1"/>
  <c r="C42" i="1"/>
  <c r="G33" i="2"/>
  <c r="G49" i="2"/>
  <c r="D11" i="3"/>
  <c r="C49" i="3"/>
  <c r="E37" i="4"/>
  <c r="D37" i="4" s="1"/>
  <c r="D20" i="4"/>
  <c r="C20" i="4" s="1"/>
  <c r="C4" i="4"/>
  <c r="D44" i="4"/>
  <c r="C44" i="4" s="1"/>
  <c r="C32" i="4"/>
  <c r="E16" i="4"/>
  <c r="E41" i="4"/>
  <c r="E43" i="4"/>
  <c r="D6" i="4"/>
  <c r="C6" i="4" s="1"/>
  <c r="D12" i="4"/>
  <c r="C12" i="4" s="1"/>
  <c r="H17" i="3"/>
  <c r="D6" i="3"/>
  <c r="D8" i="3"/>
  <c r="D10" i="3"/>
  <c r="D13" i="3"/>
  <c r="D15" i="3"/>
  <c r="D16" i="3"/>
  <c r="D21" i="3"/>
  <c r="F21" i="3"/>
  <c r="F33" i="3" s="1"/>
  <c r="H21" i="3"/>
  <c r="H33" i="3" s="1"/>
  <c r="D37" i="3"/>
  <c r="D49" i="3" s="1"/>
  <c r="F37" i="3"/>
  <c r="F49" i="3" s="1"/>
  <c r="H37" i="3"/>
  <c r="H49" i="3" s="1"/>
  <c r="D16" i="2"/>
  <c r="H5" i="2"/>
  <c r="H6" i="2"/>
  <c r="D6" i="2" s="1"/>
  <c r="H7" i="2"/>
  <c r="D7" i="2" s="1"/>
  <c r="H8" i="2"/>
  <c r="D8" i="2" s="1"/>
  <c r="H9" i="2"/>
  <c r="D9" i="2" s="1"/>
  <c r="H10" i="2"/>
  <c r="D10" i="2" s="1"/>
  <c r="H11" i="2"/>
  <c r="D11" i="2" s="1"/>
  <c r="H12" i="2"/>
  <c r="D12" i="2" s="1"/>
  <c r="H13" i="2"/>
  <c r="D13" i="2" s="1"/>
  <c r="H14" i="2"/>
  <c r="D14" i="2" s="1"/>
  <c r="H15" i="2"/>
  <c r="D15" i="2" s="1"/>
  <c r="D21" i="2"/>
  <c r="F21" i="2"/>
  <c r="F33" i="2" s="1"/>
  <c r="H21" i="2"/>
  <c r="H33" i="2" s="1"/>
  <c r="D37" i="2"/>
  <c r="D49" i="2" s="1"/>
  <c r="F37" i="2"/>
  <c r="F49" i="2" s="1"/>
  <c r="H37" i="2"/>
  <c r="H49" i="2" s="1"/>
  <c r="E8" i="1"/>
  <c r="E9" i="1"/>
  <c r="C9" i="1" s="1"/>
  <c r="D15" i="1"/>
  <c r="C15" i="1" s="1"/>
  <c r="D20" i="1"/>
  <c r="C20" i="1" s="1"/>
  <c r="D21" i="1"/>
  <c r="D8" i="1"/>
  <c r="C8" i="1" s="1"/>
  <c r="E20" i="1"/>
  <c r="E21" i="1"/>
  <c r="D23" i="1"/>
  <c r="C23" i="1" s="1"/>
  <c r="C39" i="1"/>
  <c r="D32" i="4" l="1"/>
  <c r="D43" i="4"/>
  <c r="C43" i="4" s="1"/>
  <c r="C16" i="4"/>
  <c r="C37" i="4"/>
  <c r="D16" i="4"/>
  <c r="D33" i="3"/>
  <c r="D5" i="3"/>
  <c r="D33" i="2"/>
  <c r="D5" i="2"/>
  <c r="H17" i="2"/>
  <c r="C21" i="1"/>
  <c r="D48" i="4" l="1"/>
  <c r="D17" i="3"/>
  <c r="D17" i="2"/>
  <c r="C5" i="2" s="1"/>
  <c r="C7" i="3" l="1"/>
  <c r="C12" i="3"/>
  <c r="C11" i="3"/>
  <c r="C9" i="3"/>
  <c r="C14" i="3"/>
  <c r="C8" i="3"/>
  <c r="C13" i="3"/>
  <c r="C6" i="3"/>
  <c r="C15" i="3"/>
  <c r="C16" i="3"/>
  <c r="C10" i="3"/>
  <c r="C5" i="3"/>
  <c r="C12" i="2"/>
  <c r="C8" i="2"/>
  <c r="C15" i="2"/>
  <c r="C11" i="2"/>
  <c r="C7" i="2"/>
  <c r="C16" i="2"/>
  <c r="C14" i="2"/>
  <c r="C10" i="2"/>
  <c r="C6" i="2"/>
  <c r="C13" i="2"/>
  <c r="C9" i="2"/>
  <c r="C17" i="3" l="1"/>
  <c r="C17" i="2"/>
</calcChain>
</file>

<file path=xl/sharedStrings.xml><?xml version="1.0" encoding="utf-8"?>
<sst xmlns="http://schemas.openxmlformats.org/spreadsheetml/2006/main" count="265" uniqueCount="61">
  <si>
    <t>Program Year:</t>
  </si>
  <si>
    <t>Actual In-State Allocations</t>
  </si>
  <si>
    <t>Adult</t>
  </si>
  <si>
    <t>Allocation Percentage</t>
  </si>
  <si>
    <t>Total Allocation</t>
  </si>
  <si>
    <r>
      <t xml:space="preserve">PY Allocation </t>
    </r>
    <r>
      <rPr>
        <i/>
        <sz val="11"/>
        <color theme="1"/>
        <rFont val="Calibri"/>
        <family val="2"/>
        <scheme val="minor"/>
      </rPr>
      <t>(July 1st)</t>
    </r>
  </si>
  <si>
    <r>
      <t xml:space="preserve">FY Allocation </t>
    </r>
    <r>
      <rPr>
        <i/>
        <sz val="11"/>
        <color theme="1"/>
        <rFont val="Calibri"/>
        <family val="2"/>
        <scheme val="minor"/>
      </rPr>
      <t>(October 1st)</t>
    </r>
  </si>
  <si>
    <t>Adult Allocation</t>
  </si>
  <si>
    <t xml:space="preserve">Local </t>
  </si>
  <si>
    <t xml:space="preserve">Admin </t>
  </si>
  <si>
    <t>Other</t>
  </si>
  <si>
    <t>Youth</t>
  </si>
  <si>
    <t>Youth Allocation</t>
  </si>
  <si>
    <t>Dislocated Worker</t>
  </si>
  <si>
    <t>DW Allocation</t>
  </si>
  <si>
    <t>RR</t>
  </si>
  <si>
    <t>State Totals:</t>
  </si>
  <si>
    <t xml:space="preserve">State Allotments </t>
  </si>
  <si>
    <t>Notes:</t>
  </si>
  <si>
    <t>Not Actual - Planning Purposes Only</t>
  </si>
  <si>
    <t>Adult - Increase of $975,449 (6.61%) compared to PY 11 allotment level ($14,762,815).                   Youth - Increase of $966,966 (6.05%) compared to PY 11 allotment level ($15,992,583).                       DW - Increase of $442,986 (1.99%) compared to PY 11 allotment level ($22,272,901).                                       DW - Reallocation of Rapid Response PY funds distributed to the local areas ($834,545) in PY allocation.</t>
  </si>
  <si>
    <t>Local</t>
  </si>
  <si>
    <t>Admin</t>
  </si>
  <si>
    <t>State Total</t>
  </si>
  <si>
    <t>Local Allotment:</t>
  </si>
  <si>
    <t>Total Weight:</t>
  </si>
  <si>
    <t>Total DW Allocation</t>
  </si>
  <si>
    <t>Mitigation - Option 3</t>
  </si>
  <si>
    <t>% Share</t>
  </si>
  <si>
    <t>Allocation</t>
  </si>
  <si>
    <t>1 - Olympic</t>
  </si>
  <si>
    <t>2 - Pac Mountain</t>
  </si>
  <si>
    <t>3 - Northwest</t>
  </si>
  <si>
    <t>4 - Snohomish</t>
  </si>
  <si>
    <t>5 - Seattle-King</t>
  </si>
  <si>
    <t>6 - Tacoma-Pierce</t>
  </si>
  <si>
    <t>7 - Southwest</t>
  </si>
  <si>
    <t>8 - North Central</t>
  </si>
  <si>
    <t>9 - South Central</t>
  </si>
  <si>
    <t>10 - Eastern</t>
  </si>
  <si>
    <t>11 - Benton-Franklin</t>
  </si>
  <si>
    <t>12 - Spokane</t>
  </si>
  <si>
    <t>TOTALS</t>
  </si>
  <si>
    <t>Unemployment 1st Pay Beneficiaries</t>
  </si>
  <si>
    <t>Unemployed in Excess of 4.5%</t>
  </si>
  <si>
    <t>Long Term Unemployed Continuous Claims 15+ Wks</t>
  </si>
  <si>
    <t>Employment Losses in Declining Industries</t>
  </si>
  <si>
    <t>Mass Layoffs</t>
  </si>
  <si>
    <t>Dislocated Worker Population</t>
  </si>
  <si>
    <t>Mitigation - Option 1</t>
  </si>
  <si>
    <t>Total Mitigation:</t>
  </si>
  <si>
    <t>Dislocated Worker Allocation - July 1st</t>
  </si>
  <si>
    <t>Program</t>
  </si>
  <si>
    <t>Cost Pool</t>
  </si>
  <si>
    <t>Total</t>
  </si>
  <si>
    <t xml:space="preserve"> </t>
  </si>
  <si>
    <t>Dislocated Worker Allocation - October 1st</t>
  </si>
  <si>
    <t>Total Dislocated Worker Allocation</t>
  </si>
  <si>
    <t xml:space="preserve">  </t>
  </si>
  <si>
    <t xml:space="preserve">                             </t>
  </si>
  <si>
    <t>*Note: July distribution includes mitigation of $834,545; October distribution includes mitigation of $1,165,455.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</si>
</sst>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%"/>
    <numFmt numFmtId="167" formatCode="0.000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indexed="20"/>
      <name val="Arial"/>
      <family val="2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ck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ck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22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0" xfId="0" applyFont="1" applyAlignment="1"/>
    <xf numFmtId="0" fontId="6" fillId="0" borderId="0" xfId="4" applyFont="1" applyBorder="1"/>
    <xf numFmtId="164" fontId="6" fillId="0" borderId="0" xfId="5" applyNumberFormat="1" applyFont="1" applyBorder="1"/>
    <xf numFmtId="42" fontId="6" fillId="0" borderId="0" xfId="5" applyNumberFormat="1" applyFont="1" applyBorder="1"/>
    <xf numFmtId="42" fontId="6" fillId="0" borderId="0" xfId="4" applyNumberFormat="1" applyFont="1" applyBorder="1" applyAlignment="1">
      <alignment horizontal="center"/>
    </xf>
    <xf numFmtId="0" fontId="0" fillId="3" borderId="4" xfId="0" applyFill="1" applyBorder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5" fontId="6" fillId="0" borderId="0" xfId="5" applyNumberFormat="1" applyFont="1" applyBorder="1"/>
    <xf numFmtId="9" fontId="8" fillId="0" borderId="0" xfId="0" applyNumberFormat="1" applyFont="1" applyAlignment="1">
      <alignment horizontal="center"/>
    </xf>
    <xf numFmtId="164" fontId="2" fillId="4" borderId="0" xfId="0" applyNumberFormat="1" applyFont="1" applyFill="1" applyBorder="1" applyAlignment="1">
      <alignment horizontal="center" vertical="top"/>
    </xf>
    <xf numFmtId="164" fontId="2" fillId="4" borderId="0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0" fillId="0" borderId="8" xfId="0" applyBorder="1"/>
    <xf numFmtId="166" fontId="0" fillId="0" borderId="7" xfId="3" applyNumberFormat="1" applyFont="1" applyBorder="1" applyAlignment="1">
      <alignment horizontal="center"/>
    </xf>
    <xf numFmtId="164" fontId="0" fillId="0" borderId="0" xfId="2" applyNumberFormat="1" applyFont="1" applyBorder="1"/>
    <xf numFmtId="164" fontId="0" fillId="0" borderId="7" xfId="2" applyNumberFormat="1" applyFont="1" applyBorder="1"/>
    <xf numFmtId="16" fontId="6" fillId="0" borderId="0" xfId="4" applyNumberFormat="1" applyFont="1" applyFill="1" applyBorder="1"/>
    <xf numFmtId="0" fontId="0" fillId="0" borderId="9" xfId="0" applyBorder="1"/>
    <xf numFmtId="166" fontId="0" fillId="0" borderId="10" xfId="3" applyNumberFormat="1" applyFont="1" applyBorder="1" applyAlignment="1">
      <alignment horizontal="center"/>
    </xf>
    <xf numFmtId="164" fontId="0" fillId="0" borderId="11" xfId="2" applyNumberFormat="1" applyFont="1" applyBorder="1"/>
    <xf numFmtId="44" fontId="0" fillId="0" borderId="11" xfId="2" applyFont="1" applyBorder="1"/>
    <xf numFmtId="164" fontId="0" fillId="0" borderId="10" xfId="2" applyNumberFormat="1" applyFont="1" applyBorder="1"/>
    <xf numFmtId="164" fontId="0" fillId="0" borderId="0" xfId="0" applyNumberFormat="1" applyBorder="1"/>
    <xf numFmtId="0" fontId="0" fillId="0" borderId="7" xfId="0" applyBorder="1"/>
    <xf numFmtId="0" fontId="0" fillId="0" borderId="10" xfId="0" applyBorder="1"/>
    <xf numFmtId="164" fontId="9" fillId="0" borderId="7" xfId="2" applyNumberFormat="1" applyFont="1" applyBorder="1"/>
    <xf numFmtId="164" fontId="9" fillId="0" borderId="10" xfId="2" applyNumberFormat="1" applyFont="1" applyBorder="1"/>
    <xf numFmtId="164" fontId="2" fillId="5" borderId="6" xfId="2" applyNumberFormat="1" applyFont="1" applyFill="1" applyBorder="1"/>
    <xf numFmtId="164" fontId="2" fillId="5" borderId="5" xfId="2" applyNumberFormat="1" applyFont="1" applyFill="1" applyBorder="1"/>
    <xf numFmtId="0" fontId="0" fillId="0" borderId="11" xfId="0" applyBorder="1"/>
    <xf numFmtId="0" fontId="3" fillId="6" borderId="12" xfId="0" applyFont="1" applyFill="1" applyBorder="1" applyAlignment="1"/>
    <xf numFmtId="0" fontId="3" fillId="6" borderId="0" xfId="0" applyFont="1" applyFill="1" applyBorder="1" applyAlignment="1"/>
    <xf numFmtId="0" fontId="3" fillId="6" borderId="13" xfId="0" applyFont="1" applyFill="1" applyBorder="1" applyAlignment="1"/>
    <xf numFmtId="0" fontId="0" fillId="6" borderId="12" xfId="0" applyFill="1" applyBorder="1"/>
    <xf numFmtId="0" fontId="0" fillId="6" borderId="0" xfId="0" applyFill="1" applyBorder="1"/>
    <xf numFmtId="0" fontId="0" fillId="6" borderId="13" xfId="0" applyFill="1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164" fontId="2" fillId="4" borderId="13" xfId="2" applyNumberFormat="1" applyFont="1" applyFill="1" applyBorder="1" applyAlignment="1"/>
    <xf numFmtId="9" fontId="0" fillId="0" borderId="0" xfId="0" applyNumberFormat="1" applyBorder="1" applyAlignment="1">
      <alignment horizontal="center"/>
    </xf>
    <xf numFmtId="164" fontId="1" fillId="0" borderId="13" xfId="2" applyNumberFormat="1" applyFont="1" applyBorder="1"/>
    <xf numFmtId="164" fontId="2" fillId="5" borderId="16" xfId="0" applyNumberFormat="1" applyFont="1" applyFill="1" applyBorder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165" fontId="2" fillId="2" borderId="0" xfId="2" applyNumberFormat="1" applyFont="1" applyFill="1" applyAlignment="1"/>
    <xf numFmtId="0" fontId="2" fillId="2" borderId="0" xfId="0" applyFont="1" applyFill="1" applyAlignment="1">
      <alignment horizontal="center"/>
    </xf>
    <xf numFmtId="0" fontId="0" fillId="8" borderId="17" xfId="0" applyFill="1" applyBorder="1"/>
    <xf numFmtId="0" fontId="0" fillId="8" borderId="18" xfId="0" applyFill="1" applyBorder="1"/>
    <xf numFmtId="0" fontId="0" fillId="8" borderId="24" xfId="0" applyFont="1" applyFill="1" applyBorder="1"/>
    <xf numFmtId="0" fontId="0" fillId="8" borderId="7" xfId="0" applyFont="1" applyFill="1" applyBorder="1"/>
    <xf numFmtId="0" fontId="2" fillId="8" borderId="9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44" fontId="11" fillId="5" borderId="26" xfId="0" applyNumberFormat="1" applyFont="1" applyFill="1" applyBorder="1"/>
    <xf numFmtId="0" fontId="11" fillId="5" borderId="27" xfId="0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167" fontId="0" fillId="0" borderId="1" xfId="3" applyNumberFormat="1" applyFont="1" applyBorder="1"/>
    <xf numFmtId="164" fontId="12" fillId="0" borderId="31" xfId="2" applyNumberFormat="1" applyFont="1" applyBorder="1"/>
    <xf numFmtId="0" fontId="11" fillId="5" borderId="32" xfId="0" applyFont="1" applyFill="1" applyBorder="1"/>
    <xf numFmtId="167" fontId="1" fillId="0" borderId="1" xfId="3" applyNumberFormat="1" applyFont="1" applyBorder="1"/>
    <xf numFmtId="164" fontId="1" fillId="0" borderId="3" xfId="0" applyNumberFormat="1" applyFont="1" applyBorder="1"/>
    <xf numFmtId="167" fontId="0" fillId="0" borderId="8" xfId="3" applyNumberFormat="1" applyFont="1" applyBorder="1"/>
    <xf numFmtId="164" fontId="0" fillId="0" borderId="35" xfId="2" applyNumberFormat="1" applyFont="1" applyBorder="1"/>
    <xf numFmtId="0" fontId="11" fillId="5" borderId="36" xfId="0" applyFont="1" applyFill="1" applyBorder="1"/>
    <xf numFmtId="167" fontId="1" fillId="0" borderId="8" xfId="3" applyNumberFormat="1" applyFont="1" applyBorder="1"/>
    <xf numFmtId="164" fontId="1" fillId="0" borderId="7" xfId="0" applyNumberFormat="1" applyFont="1" applyBorder="1"/>
    <xf numFmtId="164" fontId="9" fillId="0" borderId="35" xfId="2" applyNumberFormat="1" applyFont="1" applyBorder="1"/>
    <xf numFmtId="167" fontId="0" fillId="0" borderId="9" xfId="3" applyNumberFormat="1" applyFont="1" applyBorder="1"/>
    <xf numFmtId="164" fontId="0" fillId="0" borderId="25" xfId="2" applyNumberFormat="1" applyFont="1" applyBorder="1"/>
    <xf numFmtId="167" fontId="1" fillId="0" borderId="9" xfId="3" applyNumberFormat="1" applyFont="1" applyBorder="1"/>
    <xf numFmtId="164" fontId="1" fillId="0" borderId="10" xfId="0" applyNumberFormat="1" applyFont="1" applyBorder="1"/>
    <xf numFmtId="9" fontId="2" fillId="0" borderId="40" xfId="3" applyFont="1" applyBorder="1"/>
    <xf numFmtId="164" fontId="2" fillId="0" borderId="41" xfId="2" applyNumberFormat="1" applyFont="1" applyBorder="1"/>
    <xf numFmtId="0" fontId="11" fillId="5" borderId="42" xfId="0" applyFont="1" applyFill="1" applyBorder="1"/>
    <xf numFmtId="9" fontId="2" fillId="0" borderId="4" xfId="3" applyFont="1" applyBorder="1"/>
    <xf numFmtId="164" fontId="2" fillId="0" borderId="5" xfId="0" applyNumberFormat="1" applyFont="1" applyBorder="1"/>
    <xf numFmtId="0" fontId="0" fillId="5" borderId="1" xfId="0" applyFill="1" applyBorder="1"/>
    <xf numFmtId="0" fontId="0" fillId="5" borderId="3" xfId="0" applyFill="1" applyBorder="1"/>
    <xf numFmtId="0" fontId="13" fillId="5" borderId="8" xfId="0" applyFont="1" applyFill="1" applyBorder="1"/>
    <xf numFmtId="0" fontId="13" fillId="5" borderId="7" xfId="0" applyFont="1" applyFill="1" applyBorder="1"/>
    <xf numFmtId="0" fontId="11" fillId="5" borderId="26" xfId="0" applyFont="1" applyFill="1" applyBorder="1" applyAlignment="1">
      <alignment horizontal="center"/>
    </xf>
    <xf numFmtId="167" fontId="0" fillId="0" borderId="21" xfId="3" applyNumberFormat="1" applyFont="1" applyBorder="1"/>
    <xf numFmtId="44" fontId="0" fillId="0" borderId="23" xfId="0" applyNumberFormat="1" applyBorder="1"/>
    <xf numFmtId="167" fontId="0" fillId="0" borderId="46" xfId="3" applyNumberFormat="1" applyFont="1" applyBorder="1"/>
    <xf numFmtId="44" fontId="0" fillId="0" borderId="23" xfId="2" applyNumberFormat="1" applyFont="1" applyBorder="1"/>
    <xf numFmtId="44" fontId="0" fillId="0" borderId="7" xfId="2" applyFont="1" applyBorder="1"/>
    <xf numFmtId="167" fontId="0" fillId="0" borderId="47" xfId="3" applyNumberFormat="1" applyFont="1" applyBorder="1"/>
    <xf numFmtId="44" fontId="0" fillId="0" borderId="34" xfId="2" applyFont="1" applyBorder="1"/>
    <xf numFmtId="167" fontId="0" fillId="0" borderId="48" xfId="3" applyNumberFormat="1" applyFont="1" applyBorder="1"/>
    <xf numFmtId="44" fontId="0" fillId="0" borderId="34" xfId="2" applyNumberFormat="1" applyFont="1" applyBorder="1"/>
    <xf numFmtId="44" fontId="0" fillId="0" borderId="28" xfId="2" applyFont="1" applyBorder="1"/>
    <xf numFmtId="167" fontId="0" fillId="0" borderId="26" xfId="3" applyNumberFormat="1" applyFont="1" applyBorder="1"/>
    <xf numFmtId="167" fontId="0" fillId="0" borderId="49" xfId="3" applyNumberFormat="1" applyFont="1" applyBorder="1"/>
    <xf numFmtId="44" fontId="0" fillId="0" borderId="28" xfId="2" applyNumberFormat="1" applyFont="1" applyBorder="1"/>
    <xf numFmtId="9" fontId="2" fillId="0" borderId="50" xfId="3" applyFont="1" applyBorder="1"/>
    <xf numFmtId="44" fontId="2" fillId="0" borderId="51" xfId="0" applyNumberFormat="1" applyFont="1" applyBorder="1"/>
    <xf numFmtId="9" fontId="2" fillId="0" borderId="52" xfId="3" applyFont="1" applyBorder="1"/>
    <xf numFmtId="0" fontId="11" fillId="5" borderId="49" xfId="0" applyFont="1" applyFill="1" applyBorder="1" applyAlignment="1">
      <alignment horizontal="center"/>
    </xf>
    <xf numFmtId="167" fontId="0" fillId="0" borderId="53" xfId="3" applyNumberFormat="1" applyFont="1" applyBorder="1"/>
    <xf numFmtId="44" fontId="0" fillId="0" borderId="54" xfId="2" applyFont="1" applyBorder="1"/>
    <xf numFmtId="44" fontId="2" fillId="0" borderId="51" xfId="2" applyFont="1" applyBorder="1"/>
    <xf numFmtId="164" fontId="9" fillId="0" borderId="31" xfId="2" applyNumberFormat="1" applyFont="1" applyBorder="1"/>
    <xf numFmtId="164" fontId="14" fillId="0" borderId="25" xfId="2" applyNumberFormat="1" applyFont="1" applyBorder="1"/>
    <xf numFmtId="8" fontId="2" fillId="2" borderId="0" xfId="0" applyNumberFormat="1" applyFont="1" applyFill="1" applyAlignment="1">
      <alignment horizontal="center"/>
    </xf>
    <xf numFmtId="0" fontId="0" fillId="8" borderId="1" xfId="0" applyFill="1" applyBorder="1"/>
    <xf numFmtId="0" fontId="0" fillId="8" borderId="3" xfId="0" applyFill="1" applyBorder="1"/>
    <xf numFmtId="0" fontId="0" fillId="8" borderId="8" xfId="0" applyFill="1" applyBorder="1"/>
    <xf numFmtId="0" fontId="0" fillId="8" borderId="7" xfId="0" applyFill="1" applyBorder="1"/>
    <xf numFmtId="0" fontId="2" fillId="8" borderId="1" xfId="0" applyFont="1" applyFill="1" applyBorder="1" applyAlignment="1"/>
    <xf numFmtId="0" fontId="2" fillId="8" borderId="2" xfId="0" applyFont="1" applyFill="1" applyBorder="1" applyAlignment="1"/>
    <xf numFmtId="0" fontId="2" fillId="8" borderId="3" xfId="0" applyFont="1" applyFill="1" applyBorder="1" applyAlignment="1"/>
    <xf numFmtId="164" fontId="0" fillId="0" borderId="21" xfId="0" applyNumberFormat="1" applyBorder="1"/>
    <xf numFmtId="164" fontId="14" fillId="0" borderId="22" xfId="0" applyNumberFormat="1" applyFont="1" applyBorder="1"/>
    <xf numFmtId="164" fontId="0" fillId="0" borderId="23" xfId="2" applyNumberFormat="1" applyFont="1" applyBorder="1"/>
    <xf numFmtId="164" fontId="14" fillId="0" borderId="47" xfId="0" applyNumberFormat="1" applyFont="1" applyBorder="1"/>
    <xf numFmtId="164" fontId="0" fillId="0" borderId="55" xfId="0" applyNumberFormat="1" applyBorder="1"/>
    <xf numFmtId="164" fontId="0" fillId="0" borderId="34" xfId="2" applyNumberFormat="1" applyFont="1" applyBorder="1"/>
    <xf numFmtId="164" fontId="0" fillId="0" borderId="47" xfId="0" applyNumberFormat="1" applyBorder="1"/>
    <xf numFmtId="164" fontId="9" fillId="0" borderId="55" xfId="0" applyNumberFormat="1" applyFont="1" applyBorder="1"/>
    <xf numFmtId="164" fontId="9" fillId="0" borderId="47" xfId="0" applyNumberFormat="1" applyFont="1" applyBorder="1"/>
    <xf numFmtId="164" fontId="14" fillId="0" borderId="55" xfId="0" applyNumberFormat="1" applyFont="1" applyBorder="1"/>
    <xf numFmtId="164" fontId="2" fillId="0" borderId="50" xfId="0" applyNumberFormat="1" applyFont="1" applyBorder="1"/>
    <xf numFmtId="164" fontId="2" fillId="0" borderId="56" xfId="0" applyNumberFormat="1" applyFont="1" applyBorder="1"/>
    <xf numFmtId="164" fontId="2" fillId="0" borderId="51" xfId="0" applyNumberFormat="1" applyFont="1" applyBorder="1"/>
    <xf numFmtId="164" fontId="0" fillId="0" borderId="22" xfId="0" applyNumberFormat="1" applyBorder="1"/>
    <xf numFmtId="0" fontId="15" fillId="0" borderId="0" xfId="0" applyFont="1"/>
    <xf numFmtId="9" fontId="0" fillId="0" borderId="0" xfId="0" applyNumberFormat="1"/>
    <xf numFmtId="43" fontId="0" fillId="0" borderId="0" xfId="1" applyFont="1"/>
    <xf numFmtId="44" fontId="0" fillId="0" borderId="0" xfId="0" applyNumberFormat="1"/>
    <xf numFmtId="44" fontId="16" fillId="0" borderId="0" xfId="0" applyNumberFormat="1" applyFont="1"/>
    <xf numFmtId="0" fontId="0" fillId="2" borderId="1" xfId="0" applyFill="1" applyBorder="1"/>
    <xf numFmtId="0" fontId="0" fillId="2" borderId="3" xfId="0" applyFill="1" applyBorder="1"/>
    <xf numFmtId="0" fontId="0" fillId="2" borderId="8" xfId="0" applyFill="1" applyBorder="1"/>
    <xf numFmtId="0" fontId="0" fillId="2" borderId="7" xfId="0" applyFill="1" applyBorder="1"/>
    <xf numFmtId="44" fontId="2" fillId="2" borderId="1" xfId="0" applyNumberFormat="1" applyFont="1" applyFill="1" applyBorder="1" applyAlignment="1"/>
    <xf numFmtId="44" fontId="2" fillId="2" borderId="2" xfId="0" applyNumberFormat="1" applyFont="1" applyFill="1" applyBorder="1" applyAlignment="1"/>
    <xf numFmtId="44" fontId="2" fillId="2" borderId="3" xfId="0" applyNumberFormat="1" applyFont="1" applyFill="1" applyBorder="1" applyAlignment="1"/>
    <xf numFmtId="164" fontId="16" fillId="0" borderId="22" xfId="0" applyNumberFormat="1" applyFont="1" applyBorder="1"/>
    <xf numFmtId="164" fontId="16" fillId="0" borderId="23" xfId="2" applyNumberFormat="1" applyFont="1" applyBorder="1"/>
    <xf numFmtId="164" fontId="16" fillId="0" borderId="55" xfId="0" applyNumberFormat="1" applyFont="1" applyBorder="1"/>
    <xf numFmtId="164" fontId="16" fillId="0" borderId="34" xfId="2" applyNumberFormat="1" applyFont="1" applyBorder="1"/>
    <xf numFmtId="164" fontId="16" fillId="0" borderId="47" xfId="0" applyNumberFormat="1" applyFont="1" applyBorder="1"/>
    <xf numFmtId="164" fontId="16" fillId="0" borderId="54" xfId="2" applyNumberFormat="1" applyFont="1" applyBorder="1"/>
    <xf numFmtId="164" fontId="15" fillId="0" borderId="50" xfId="0" applyNumberFormat="1" applyFont="1" applyBorder="1"/>
    <xf numFmtId="164" fontId="15" fillId="0" borderId="51" xfId="0" applyNumberFormat="1" applyFont="1" applyBorder="1"/>
    <xf numFmtId="9" fontId="2" fillId="0" borderId="57" xfId="3" applyFont="1" applyBorder="1"/>
    <xf numFmtId="44" fontId="2" fillId="0" borderId="58" xfId="2" applyFont="1" applyBorder="1"/>
    <xf numFmtId="9" fontId="2" fillId="0" borderId="59" xfId="3" applyFont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0" fillId="7" borderId="0" xfId="0" applyFill="1" applyAlignment="1">
      <alignment horizontal="left" vertical="top" wrapText="1"/>
    </xf>
    <xf numFmtId="0" fontId="2" fillId="4" borderId="1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1" fillId="5" borderId="4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44" fontId="11" fillId="5" borderId="47" xfId="2" applyFont="1" applyFill="1" applyBorder="1" applyAlignment="1">
      <alignment horizontal="left" vertical="center"/>
    </xf>
    <xf numFmtId="44" fontId="11" fillId="5" borderId="34" xfId="2" applyFont="1" applyFill="1" applyBorder="1" applyAlignment="1">
      <alignment horizontal="left" vertical="center"/>
    </xf>
    <xf numFmtId="44" fontId="11" fillId="5" borderId="26" xfId="2" applyFont="1" applyFill="1" applyBorder="1" applyAlignment="1">
      <alignment horizontal="left" vertical="center"/>
    </xf>
    <xf numFmtId="44" fontId="11" fillId="5" borderId="28" xfId="2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44" fontId="11" fillId="5" borderId="45" xfId="2" applyFont="1" applyFill="1" applyBorder="1" applyAlignment="1">
      <alignment horizontal="left" vertical="center"/>
    </xf>
    <xf numFmtId="44" fontId="11" fillId="5" borderId="30" xfId="2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wrapText="1"/>
    </xf>
    <xf numFmtId="0" fontId="11" fillId="5" borderId="43" xfId="0" applyFont="1" applyFill="1" applyBorder="1" applyAlignment="1">
      <alignment horizontal="center" vertical="center" wrapText="1"/>
    </xf>
    <xf numFmtId="0" fontId="11" fillId="5" borderId="44" xfId="0" applyFont="1" applyFill="1" applyBorder="1" applyAlignment="1">
      <alignment horizontal="center" vertical="center" wrapText="1"/>
    </xf>
    <xf numFmtId="44" fontId="2" fillId="8" borderId="33" xfId="2" applyFont="1" applyFill="1" applyBorder="1" applyAlignment="1">
      <alignment horizontal="left" vertical="center"/>
    </xf>
    <xf numFmtId="44" fontId="2" fillId="8" borderId="34" xfId="2" applyFont="1" applyFill="1" applyBorder="1" applyAlignment="1">
      <alignment horizontal="left" vertical="center"/>
    </xf>
    <xf numFmtId="44" fontId="2" fillId="8" borderId="37" xfId="2" applyFont="1" applyFill="1" applyBorder="1" applyAlignment="1">
      <alignment horizontal="left" vertical="center"/>
    </xf>
    <xf numFmtId="44" fontId="2" fillId="8" borderId="28" xfId="2" applyFont="1" applyFill="1" applyBorder="1" applyAlignment="1">
      <alignment horizontal="left" vertical="center"/>
    </xf>
    <xf numFmtId="0" fontId="2" fillId="8" borderId="38" xfId="0" applyFont="1" applyFill="1" applyBorder="1" applyAlignment="1">
      <alignment horizontal="left"/>
    </xf>
    <xf numFmtId="0" fontId="2" fillId="8" borderId="39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44" fontId="2" fillId="8" borderId="29" xfId="2" applyFont="1" applyFill="1" applyBorder="1" applyAlignment="1">
      <alignment horizontal="left" vertical="center"/>
    </xf>
    <xf numFmtId="44" fontId="2" fillId="8" borderId="30" xfId="2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/>
    </xf>
    <xf numFmtId="0" fontId="11" fillId="5" borderId="10" xfId="0" applyFont="1" applyFill="1" applyBorder="1" applyAlignment="1">
      <alignment horizontal="left"/>
    </xf>
    <xf numFmtId="44" fontId="2" fillId="2" borderId="26" xfId="2" applyFont="1" applyFill="1" applyBorder="1" applyAlignment="1">
      <alignment horizontal="left" vertical="center"/>
    </xf>
    <xf numFmtId="44" fontId="2" fillId="2" borderId="28" xfId="2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44" fontId="2" fillId="2" borderId="47" xfId="2" applyFont="1" applyFill="1" applyBorder="1" applyAlignment="1">
      <alignment horizontal="left" vertical="center"/>
    </xf>
    <xf numFmtId="44" fontId="2" fillId="2" borderId="34" xfId="2" applyFont="1" applyFill="1" applyBorder="1" applyAlignment="1">
      <alignment horizontal="left" vertical="center"/>
    </xf>
    <xf numFmtId="44" fontId="2" fillId="2" borderId="4" xfId="0" applyNumberFormat="1" applyFont="1" applyFill="1" applyBorder="1" applyAlignment="1">
      <alignment horizontal="center"/>
    </xf>
    <xf numFmtId="44" fontId="2" fillId="2" borderId="6" xfId="0" applyNumberFormat="1" applyFont="1" applyFill="1" applyBorder="1" applyAlignment="1">
      <alignment horizontal="center"/>
    </xf>
    <xf numFmtId="44" fontId="2" fillId="2" borderId="5" xfId="0" applyNumberFormat="1" applyFont="1" applyFill="1" applyBorder="1" applyAlignment="1">
      <alignment horizontal="center"/>
    </xf>
    <xf numFmtId="44" fontId="2" fillId="2" borderId="45" xfId="2" applyFont="1" applyFill="1" applyBorder="1" applyAlignment="1">
      <alignment horizontal="left" vertical="center"/>
    </xf>
    <xf numFmtId="44" fontId="2" fillId="2" borderId="30" xfId="2" applyFont="1" applyFill="1" applyBorder="1" applyAlignment="1">
      <alignment horizontal="left" vertical="center"/>
    </xf>
    <xf numFmtId="44" fontId="2" fillId="8" borderId="47" xfId="2" applyFont="1" applyFill="1" applyBorder="1" applyAlignment="1">
      <alignment horizontal="left" vertical="center"/>
    </xf>
    <xf numFmtId="44" fontId="2" fillId="8" borderId="26" xfId="2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/>
    </xf>
    <xf numFmtId="0" fontId="2" fillId="8" borderId="5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44" fontId="2" fillId="8" borderId="45" xfId="2" applyFont="1" applyFill="1" applyBorder="1" applyAlignment="1">
      <alignment horizontal="left" vertical="center"/>
    </xf>
    <xf numFmtId="8" fontId="2" fillId="2" borderId="0" xfId="0" applyNumberFormat="1" applyFont="1" applyFill="1" applyAlignment="1">
      <alignment horizontal="right"/>
    </xf>
  </cellXfs>
  <cellStyles count="13">
    <cellStyle name="Comma" xfId="1" builtinId="3"/>
    <cellStyle name="Comma 2" xfId="6"/>
    <cellStyle name="Comma 2 2" xfId="7"/>
    <cellStyle name="Currency" xfId="2" builtinId="4"/>
    <cellStyle name="Currency 2" xfId="8"/>
    <cellStyle name="Currency 3" xfId="5"/>
    <cellStyle name="Normal" xfId="0" builtinId="0"/>
    <cellStyle name="Normal 2" xfId="9"/>
    <cellStyle name="Normal 3" xfId="4"/>
    <cellStyle name="Percent" xfId="3" builtinId="5"/>
    <cellStyle name="Percent 2" xfId="10"/>
    <cellStyle name="Percent 2 2" xfId="11"/>
    <cellStyle name="Percent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sdsharepoint/wsid/grants_administration/Shared%20Documents/Allocations/PY12%20Allocations/WIA%20PY%2012%20Allocations%20-RR%20Reallocation%20Oct%20D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Allocations"/>
      <sheetName val="Youth Allocation by WDA"/>
      <sheetName val="Youth Allocation Summary"/>
      <sheetName val="Youth Allocation by County"/>
      <sheetName val="Adult Allocation by WDA"/>
      <sheetName val="Adult Allocation by WDA - July"/>
      <sheetName val="Adult Allocation by WDA - Oct"/>
      <sheetName val="Adult Allocation Summary"/>
      <sheetName val="Adult Allocation by County"/>
      <sheetName val="DW Allocation by WDA - No Mit."/>
      <sheetName val="DW Alloc. by WDA - Mitigation 1"/>
      <sheetName val="DW Alloc. by WDA - Mitigation 2"/>
      <sheetName val="DW Alloc. by WDA - Mitigation 3"/>
      <sheetName val="DW Alloc. by WDA - Mitigation 4"/>
      <sheetName val="DW Alloc. by WDA - July Mit."/>
      <sheetName val="DW Alloc. by WDA - Oct No Mit."/>
      <sheetName val="DW Alloc. by WDA - Oct Mit."/>
      <sheetName val="DW Allocation Summ - July Mit."/>
      <sheetName val="DW Allocation Summary- $2M Mit."/>
      <sheetName val="DW Allocation by County-No Mit."/>
      <sheetName val="DW Allocation by County - Mit."/>
      <sheetName val="Allocation Comp. to Prior Year "/>
      <sheetName val="Data Ent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4.0928302185557638E-2</v>
          </cell>
        </row>
        <row r="6">
          <cell r="C6">
            <v>8.144997693729121E-2</v>
          </cell>
        </row>
        <row r="7">
          <cell r="C7">
            <v>6.4729210933610226E-2</v>
          </cell>
        </row>
        <row r="8">
          <cell r="C8">
            <v>0.10823398754239535</v>
          </cell>
        </row>
        <row r="9">
          <cell r="C9">
            <v>0.25111234632129337</v>
          </cell>
        </row>
        <row r="10">
          <cell r="C10">
            <v>0.12217659118543475</v>
          </cell>
        </row>
        <row r="11">
          <cell r="C11">
            <v>7.8505329644726354E-2</v>
          </cell>
        </row>
        <row r="12">
          <cell r="C12">
            <v>4.7174189798704441E-2</v>
          </cell>
        </row>
        <row r="13">
          <cell r="C13">
            <v>6.3931813073748983E-2</v>
          </cell>
        </row>
        <row r="14">
          <cell r="C14">
            <v>2.3900698238059102E-2</v>
          </cell>
        </row>
        <row r="15">
          <cell r="C15">
            <v>4.8690616702328889E-2</v>
          </cell>
        </row>
        <row r="16">
          <cell r="C16">
            <v>6.9166937436849679E-2</v>
          </cell>
        </row>
        <row r="17">
          <cell r="C17">
            <v>0.99999999999999989</v>
          </cell>
        </row>
      </sheetData>
      <sheetData sheetId="10"/>
      <sheetData sheetId="11"/>
      <sheetData sheetId="12"/>
      <sheetData sheetId="13"/>
      <sheetData sheetId="14">
        <row r="5">
          <cell r="D5">
            <v>129794.77692422931</v>
          </cell>
        </row>
        <row r="6">
          <cell r="D6">
            <v>258300.02767106713</v>
          </cell>
        </row>
        <row r="7">
          <cell r="D7">
            <v>205273.98136219475</v>
          </cell>
        </row>
        <row r="8">
          <cell r="D8">
            <v>343239.40936993493</v>
          </cell>
        </row>
        <row r="9">
          <cell r="D9">
            <v>796345.54167246155</v>
          </cell>
        </row>
        <row r="10">
          <cell r="D10">
            <v>387455.19729552895</v>
          </cell>
        </row>
        <row r="11">
          <cell r="D11">
            <v>248961.75029209835</v>
          </cell>
        </row>
        <row r="12">
          <cell r="D12">
            <v>149602.21454231223</v>
          </cell>
        </row>
        <row r="13">
          <cell r="D13">
            <v>202745.18058687114</v>
          </cell>
        </row>
        <row r="14">
          <cell r="D14">
            <v>75795.714049118062</v>
          </cell>
        </row>
        <row r="15">
          <cell r="D15">
            <v>154411.18726424949</v>
          </cell>
        </row>
        <row r="16">
          <cell r="D16">
            <v>219347.16896993399</v>
          </cell>
        </row>
      </sheetData>
      <sheetData sheetId="15"/>
      <sheetData sheetId="16">
        <row r="5">
          <cell r="D5">
            <v>602867.70054551179</v>
          </cell>
        </row>
        <row r="6">
          <cell r="D6">
            <v>1199745.8404955992</v>
          </cell>
        </row>
        <row r="7">
          <cell r="D7">
            <v>953451.48637612164</v>
          </cell>
        </row>
        <row r="8">
          <cell r="D8">
            <v>1594270.2654687809</v>
          </cell>
        </row>
        <row r="9">
          <cell r="D9">
            <v>3698846.8790852125</v>
          </cell>
        </row>
        <row r="10">
          <cell r="D10">
            <v>1799642.7082294947</v>
          </cell>
        </row>
        <row r="11">
          <cell r="D11">
            <v>1156371.6312714361</v>
          </cell>
        </row>
        <row r="12">
          <cell r="D12">
            <v>694868.85096900468</v>
          </cell>
        </row>
        <row r="13">
          <cell r="D13">
            <v>941706.02181614726</v>
          </cell>
        </row>
        <row r="14">
          <cell r="D14">
            <v>352053.66992465523</v>
          </cell>
        </row>
        <row r="15">
          <cell r="D15">
            <v>717205.41928157595</v>
          </cell>
        </row>
        <row r="16">
          <cell r="D16">
            <v>1018818.4765364608</v>
          </cell>
        </row>
      </sheetData>
      <sheetData sheetId="17"/>
      <sheetData sheetId="18"/>
      <sheetData sheetId="19"/>
      <sheetData sheetId="20"/>
      <sheetData sheetId="21"/>
      <sheetData sheetId="22">
        <row r="1">
          <cell r="B1" t="str">
            <v>PY 2012</v>
          </cell>
        </row>
        <row r="4">
          <cell r="B4">
            <v>16959549</v>
          </cell>
          <cell r="C4">
            <v>16959549</v>
          </cell>
        </row>
        <row r="5">
          <cell r="B5">
            <v>15738264</v>
          </cell>
          <cell r="C5">
            <v>1200784</v>
          </cell>
          <cell r="D5">
            <v>14537480</v>
          </cell>
        </row>
        <row r="6">
          <cell r="B6">
            <v>22715887</v>
          </cell>
          <cell r="C6">
            <v>3338181</v>
          </cell>
          <cell r="D6">
            <v>19377706</v>
          </cell>
        </row>
        <row r="10">
          <cell r="B10">
            <v>0.95</v>
          </cell>
          <cell r="C10">
            <v>0.95</v>
          </cell>
          <cell r="D10">
            <v>0.7</v>
          </cell>
        </row>
        <row r="11">
          <cell r="B11">
            <v>0.05</v>
          </cell>
          <cell r="C11">
            <v>0.05</v>
          </cell>
          <cell r="D11">
            <v>0.05</v>
          </cell>
        </row>
        <row r="12">
          <cell r="C12">
            <v>0</v>
          </cell>
          <cell r="D12">
            <v>0</v>
          </cell>
        </row>
        <row r="13">
          <cell r="D13">
            <v>0.25</v>
          </cell>
        </row>
        <row r="212">
          <cell r="B212">
            <v>15901121</v>
          </cell>
          <cell r="D212">
            <v>13564394</v>
          </cell>
        </row>
        <row r="216">
          <cell r="B216">
            <v>9654</v>
          </cell>
          <cell r="C216">
            <v>6580</v>
          </cell>
          <cell r="D216">
            <v>9655</v>
          </cell>
          <cell r="E216">
            <v>2900</v>
          </cell>
          <cell r="F216">
            <v>209</v>
          </cell>
          <cell r="G216">
            <v>5663</v>
          </cell>
        </row>
        <row r="217">
          <cell r="B217">
            <v>17672</v>
          </cell>
          <cell r="C217">
            <v>12532</v>
          </cell>
          <cell r="D217">
            <v>16446</v>
          </cell>
          <cell r="E217">
            <v>4846</v>
          </cell>
          <cell r="F217">
            <v>1093</v>
          </cell>
          <cell r="G217">
            <v>9709</v>
          </cell>
        </row>
        <row r="218">
          <cell r="B218">
            <v>14029</v>
          </cell>
          <cell r="C218">
            <v>8947</v>
          </cell>
          <cell r="D218">
            <v>12534</v>
          </cell>
          <cell r="E218">
            <v>4085</v>
          </cell>
          <cell r="F218">
            <v>924</v>
          </cell>
          <cell r="G218">
            <v>7868</v>
          </cell>
        </row>
        <row r="219">
          <cell r="B219">
            <v>24283</v>
          </cell>
          <cell r="C219">
            <v>18391</v>
          </cell>
          <cell r="D219">
            <v>24421</v>
          </cell>
          <cell r="E219">
            <v>3982</v>
          </cell>
          <cell r="F219">
            <v>1383</v>
          </cell>
          <cell r="G219">
            <v>14299</v>
          </cell>
        </row>
        <row r="220">
          <cell r="B220">
            <v>54110</v>
          </cell>
          <cell r="C220">
            <v>39829</v>
          </cell>
          <cell r="D220">
            <v>59493</v>
          </cell>
          <cell r="E220">
            <v>13294</v>
          </cell>
          <cell r="F220">
            <v>2348</v>
          </cell>
          <cell r="G220">
            <v>35242</v>
          </cell>
        </row>
        <row r="221">
          <cell r="B221">
            <v>28948</v>
          </cell>
          <cell r="C221">
            <v>20510</v>
          </cell>
          <cell r="D221">
            <v>29595</v>
          </cell>
          <cell r="E221">
            <v>6373</v>
          </cell>
          <cell r="F221">
            <v>1084</v>
          </cell>
          <cell r="G221">
            <v>15941</v>
          </cell>
        </row>
        <row r="222">
          <cell r="B222">
            <v>14317</v>
          </cell>
          <cell r="C222">
            <v>20401</v>
          </cell>
          <cell r="D222">
            <v>13837</v>
          </cell>
          <cell r="E222">
            <v>4459</v>
          </cell>
          <cell r="F222">
            <v>540</v>
          </cell>
          <cell r="G222">
            <v>9248</v>
          </cell>
        </row>
        <row r="223">
          <cell r="B223">
            <v>12562</v>
          </cell>
          <cell r="C223">
            <v>6286</v>
          </cell>
          <cell r="D223">
            <v>8688</v>
          </cell>
          <cell r="E223">
            <v>3055</v>
          </cell>
          <cell r="F223">
            <v>223</v>
          </cell>
          <cell r="G223">
            <v>8164</v>
          </cell>
        </row>
        <row r="224">
          <cell r="B224">
            <v>16465</v>
          </cell>
          <cell r="C224">
            <v>8924</v>
          </cell>
          <cell r="D224">
            <v>11269</v>
          </cell>
          <cell r="E224">
            <v>2407</v>
          </cell>
          <cell r="F224">
            <v>812</v>
          </cell>
          <cell r="G224">
            <v>9989</v>
          </cell>
        </row>
        <row r="225">
          <cell r="B225">
            <v>4989</v>
          </cell>
          <cell r="C225">
            <v>4269</v>
          </cell>
          <cell r="D225">
            <v>4056</v>
          </cell>
          <cell r="E225">
            <v>2146</v>
          </cell>
          <cell r="F225">
            <v>114</v>
          </cell>
          <cell r="G225">
            <v>3226</v>
          </cell>
        </row>
        <row r="226">
          <cell r="B226">
            <v>11036</v>
          </cell>
          <cell r="C226">
            <v>4591</v>
          </cell>
          <cell r="D226">
            <v>6583</v>
          </cell>
          <cell r="E226">
            <v>2433</v>
          </cell>
          <cell r="F226">
            <v>1245</v>
          </cell>
          <cell r="G226">
            <v>5228</v>
          </cell>
        </row>
        <row r="227">
          <cell r="B227">
            <v>16017</v>
          </cell>
          <cell r="C227">
            <v>11390</v>
          </cell>
          <cell r="D227">
            <v>15225</v>
          </cell>
          <cell r="E227">
            <v>3867</v>
          </cell>
          <cell r="F227">
            <v>386</v>
          </cell>
          <cell r="G227">
            <v>10927</v>
          </cell>
        </row>
        <row r="228">
          <cell r="B228">
            <v>224082</v>
          </cell>
          <cell r="C228">
            <v>162650</v>
          </cell>
          <cell r="D228">
            <v>211802</v>
          </cell>
          <cell r="E228">
            <v>53847</v>
          </cell>
          <cell r="F228">
            <v>10361</v>
          </cell>
          <cell r="G228">
            <v>135504</v>
          </cell>
        </row>
        <row r="232">
          <cell r="H232">
            <v>7.5</v>
          </cell>
        </row>
        <row r="233">
          <cell r="B233">
            <v>2120149.4666666668</v>
          </cell>
          <cell r="C233">
            <v>3180224.2</v>
          </cell>
          <cell r="D233">
            <v>2120149.4666666668</v>
          </cell>
          <cell r="E233">
            <v>2120149.4666666668</v>
          </cell>
          <cell r="F233">
            <v>2120149.4666666668</v>
          </cell>
          <cell r="G233">
            <v>4240298.9333333336</v>
          </cell>
        </row>
        <row r="238">
          <cell r="B238">
            <v>2000000</v>
          </cell>
        </row>
        <row r="248">
          <cell r="B248">
            <v>1808585.8666666667</v>
          </cell>
          <cell r="C248">
            <v>2712878.8000000003</v>
          </cell>
          <cell r="D248">
            <v>1808585.8666666667</v>
          </cell>
          <cell r="E248">
            <v>1808585.8666666667</v>
          </cell>
          <cell r="F248">
            <v>1808585.8666666667</v>
          </cell>
          <cell r="G248">
            <v>3617171.7333333334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A1:O42"/>
  <sheetViews>
    <sheetView view="pageLayout" zoomScaleNormal="100" workbookViewId="0">
      <selection activeCell="E20" sqref="E20"/>
    </sheetView>
  </sheetViews>
  <sheetFormatPr defaultRowHeight="14.4" x14ac:dyDescent="0.3"/>
  <cols>
    <col min="1" max="1" width="7.109375" customWidth="1"/>
    <col min="2" max="2" width="10.6640625" customWidth="1"/>
    <col min="3" max="5" width="15" customWidth="1"/>
    <col min="9" max="9" width="29.109375" bestFit="1" customWidth="1"/>
    <col min="10" max="10" width="15.5546875" bestFit="1" customWidth="1"/>
    <col min="11" max="11" width="1" customWidth="1"/>
    <col min="12" max="12" width="14.33203125" bestFit="1" customWidth="1"/>
    <col min="13" max="13" width="1" customWidth="1"/>
    <col min="14" max="14" width="15.5546875" bestFit="1" customWidth="1"/>
  </cols>
  <sheetData>
    <row r="1" spans="1:15" ht="20.25" customHeight="1" x14ac:dyDescent="0.3">
      <c r="A1" s="167" t="s">
        <v>0</v>
      </c>
      <c r="B1" s="167"/>
      <c r="C1" s="1" t="str">
        <f>'[1]Data Entry'!B1</f>
        <v>PY 2012</v>
      </c>
      <c r="D1" s="2"/>
      <c r="E1" s="2"/>
      <c r="F1" s="2"/>
      <c r="G1" s="2"/>
      <c r="H1" s="2"/>
    </row>
    <row r="2" spans="1:15" ht="3" customHeight="1" x14ac:dyDescent="0.3"/>
    <row r="3" spans="1:15" ht="25.5" customHeight="1" x14ac:dyDescent="0.35">
      <c r="A3" s="168" t="s">
        <v>1</v>
      </c>
      <c r="B3" s="168"/>
      <c r="C3" s="168"/>
      <c r="D3" s="168"/>
      <c r="E3" s="168"/>
      <c r="F3" s="3"/>
      <c r="G3" s="3"/>
      <c r="H3" s="3"/>
    </row>
    <row r="4" spans="1:15" ht="7.5" customHeight="1" thickBot="1" x14ac:dyDescent="0.35"/>
    <row r="5" spans="1:15" ht="18.600000000000001" thickBot="1" x14ac:dyDescent="0.4">
      <c r="A5" s="154" t="s">
        <v>2</v>
      </c>
      <c r="B5" s="155"/>
      <c r="C5" s="155"/>
      <c r="D5" s="155"/>
      <c r="E5" s="156"/>
      <c r="I5" s="4"/>
      <c r="J5" s="5"/>
      <c r="K5" s="4"/>
      <c r="L5" s="6"/>
      <c r="M5" s="7"/>
    </row>
    <row r="6" spans="1:15" ht="30" customHeight="1" thickBot="1" x14ac:dyDescent="0.35">
      <c r="A6" s="8"/>
      <c r="B6" s="9" t="s">
        <v>3</v>
      </c>
      <c r="C6" s="10" t="s">
        <v>4</v>
      </c>
      <c r="D6" s="11" t="s">
        <v>5</v>
      </c>
      <c r="E6" s="12" t="s">
        <v>6</v>
      </c>
      <c r="I6" s="4"/>
      <c r="J6" s="13"/>
      <c r="K6" s="4"/>
      <c r="L6" s="6"/>
      <c r="M6" s="7"/>
      <c r="O6" s="14"/>
    </row>
    <row r="7" spans="1:15" ht="15" customHeight="1" x14ac:dyDescent="0.3">
      <c r="A7" s="157" t="s">
        <v>7</v>
      </c>
      <c r="B7" s="158"/>
      <c r="C7" s="15">
        <f>'[1]Data Entry'!B5</f>
        <v>15738264</v>
      </c>
      <c r="D7" s="16">
        <f>'[1]Data Entry'!C5</f>
        <v>1200784</v>
      </c>
      <c r="E7" s="17">
        <f>'[1]Data Entry'!D5</f>
        <v>14537480</v>
      </c>
      <c r="I7" s="4"/>
      <c r="J7" s="13"/>
      <c r="K7" s="4"/>
      <c r="L7" s="6"/>
      <c r="M7" s="7"/>
      <c r="O7" s="14"/>
    </row>
    <row r="8" spans="1:15" ht="15.6" x14ac:dyDescent="0.3">
      <c r="A8" s="18" t="s">
        <v>8</v>
      </c>
      <c r="B8" s="19">
        <f>'[1]Data Entry'!B10</f>
        <v>0.95</v>
      </c>
      <c r="C8" s="20">
        <f>SUM(D8:E8)</f>
        <v>14951350.800000001</v>
      </c>
      <c r="D8" s="20">
        <f>(D7*95%)</f>
        <v>1140744.8</v>
      </c>
      <c r="E8" s="21">
        <f>E7*95%</f>
        <v>13810606</v>
      </c>
      <c r="I8" s="4"/>
      <c r="J8" s="13"/>
      <c r="K8" s="22"/>
      <c r="L8" s="6"/>
      <c r="M8" s="7"/>
      <c r="O8" s="14"/>
    </row>
    <row r="9" spans="1:15" ht="15.6" x14ac:dyDescent="0.3">
      <c r="A9" s="18" t="s">
        <v>9</v>
      </c>
      <c r="B9" s="19">
        <f>'[1]Data Entry'!B11</f>
        <v>0.05</v>
      </c>
      <c r="C9" s="20">
        <f>SUM(D9:E9)</f>
        <v>786913.2</v>
      </c>
      <c r="D9" s="20">
        <f>(D7*5%)</f>
        <v>60039.200000000004</v>
      </c>
      <c r="E9" s="21">
        <f>E7*5%</f>
        <v>726874</v>
      </c>
      <c r="I9" s="4"/>
      <c r="J9" s="13"/>
      <c r="K9" s="22"/>
      <c r="L9" s="6"/>
      <c r="M9" s="7"/>
      <c r="O9" s="14"/>
    </row>
    <row r="10" spans="1:15" ht="15" thickBot="1" x14ac:dyDescent="0.35">
      <c r="A10" s="23" t="s">
        <v>10</v>
      </c>
      <c r="B10" s="24">
        <v>0</v>
      </c>
      <c r="C10" s="25">
        <f>SUM(D10:E10)</f>
        <v>0</v>
      </c>
      <c r="D10" s="26">
        <v>0</v>
      </c>
      <c r="E10" s="27">
        <f>E7*0%</f>
        <v>0</v>
      </c>
    </row>
    <row r="11" spans="1:15" ht="18.600000000000001" thickBot="1" x14ac:dyDescent="0.4">
      <c r="A11" s="154" t="s">
        <v>11</v>
      </c>
      <c r="B11" s="155"/>
      <c r="C11" s="155"/>
      <c r="D11" s="155"/>
      <c r="E11" s="156"/>
    </row>
    <row r="12" spans="1:15" ht="30" customHeight="1" thickBot="1" x14ac:dyDescent="0.35">
      <c r="A12" s="8"/>
      <c r="B12" s="9" t="s">
        <v>3</v>
      </c>
      <c r="C12" s="10" t="s">
        <v>4</v>
      </c>
      <c r="D12" s="11" t="s">
        <v>5</v>
      </c>
      <c r="E12" s="12" t="s">
        <v>6</v>
      </c>
    </row>
    <row r="13" spans="1:15" ht="15" customHeight="1" x14ac:dyDescent="0.3">
      <c r="A13" s="157" t="s">
        <v>12</v>
      </c>
      <c r="B13" s="158"/>
      <c r="C13" s="15">
        <f>'[1]Data Entry'!B4</f>
        <v>16959549</v>
      </c>
      <c r="D13" s="16">
        <f>'[1]Data Entry'!C4</f>
        <v>16959549</v>
      </c>
      <c r="E13" s="17"/>
    </row>
    <row r="14" spans="1:15" x14ac:dyDescent="0.3">
      <c r="A14" s="18" t="s">
        <v>8</v>
      </c>
      <c r="B14" s="19">
        <f>'[1]Data Entry'!C10</f>
        <v>0.95</v>
      </c>
      <c r="C14" s="28">
        <f>SUM(D14:E14)</f>
        <v>16111571.549999999</v>
      </c>
      <c r="D14" s="28">
        <f>D13*95%</f>
        <v>16111571.549999999</v>
      </c>
      <c r="E14" s="29"/>
    </row>
    <row r="15" spans="1:15" x14ac:dyDescent="0.3">
      <c r="A15" s="18" t="s">
        <v>9</v>
      </c>
      <c r="B15" s="19">
        <f>'[1]Data Entry'!C11</f>
        <v>0.05</v>
      </c>
      <c r="C15" s="28">
        <f>SUM(D15:E15)</f>
        <v>847977.45000000007</v>
      </c>
      <c r="D15" s="28">
        <f>D13*5%</f>
        <v>847977.45000000007</v>
      </c>
      <c r="E15" s="29"/>
    </row>
    <row r="16" spans="1:15" ht="15" thickBot="1" x14ac:dyDescent="0.35">
      <c r="A16" s="23" t="s">
        <v>10</v>
      </c>
      <c r="B16" s="24">
        <f>'[1]Data Entry'!C12</f>
        <v>0</v>
      </c>
      <c r="C16" s="26">
        <f>SUM(D16:E16)</f>
        <v>0</v>
      </c>
      <c r="D16" s="26">
        <v>0</v>
      </c>
      <c r="E16" s="30"/>
    </row>
    <row r="17" spans="1:8" ht="18.600000000000001" thickBot="1" x14ac:dyDescent="0.4">
      <c r="A17" s="154" t="s">
        <v>13</v>
      </c>
      <c r="B17" s="155"/>
      <c r="C17" s="155"/>
      <c r="D17" s="155"/>
      <c r="E17" s="156"/>
    </row>
    <row r="18" spans="1:8" ht="30" customHeight="1" thickBot="1" x14ac:dyDescent="0.35">
      <c r="A18" s="8"/>
      <c r="B18" s="9" t="s">
        <v>3</v>
      </c>
      <c r="C18" s="10" t="s">
        <v>4</v>
      </c>
      <c r="D18" s="11" t="s">
        <v>5</v>
      </c>
      <c r="E18" s="12" t="s">
        <v>6</v>
      </c>
    </row>
    <row r="19" spans="1:8" ht="15" customHeight="1" x14ac:dyDescent="0.3">
      <c r="A19" s="157" t="s">
        <v>14</v>
      </c>
      <c r="B19" s="158"/>
      <c r="C19" s="15">
        <f>'[1]Data Entry'!B6</f>
        <v>22715887</v>
      </c>
      <c r="D19" s="16">
        <f>'[1]Data Entry'!C6</f>
        <v>3338181</v>
      </c>
      <c r="E19" s="17">
        <f>'[1]Data Entry'!D6</f>
        <v>19377706</v>
      </c>
    </row>
    <row r="20" spans="1:8" x14ac:dyDescent="0.3">
      <c r="A20" s="18" t="s">
        <v>8</v>
      </c>
      <c r="B20" s="19">
        <f>'[1]Data Entry'!D10</f>
        <v>0.7</v>
      </c>
      <c r="C20" s="20">
        <f>SUM(D20:E20)</f>
        <v>17901120.899999999</v>
      </c>
      <c r="D20" s="20">
        <f>(D19*70%)+834545</f>
        <v>3171271.6999999997</v>
      </c>
      <c r="E20" s="31">
        <f>(E19*70%)+1165455</f>
        <v>14729849.199999999</v>
      </c>
    </row>
    <row r="21" spans="1:8" x14ac:dyDescent="0.3">
      <c r="A21" s="18" t="s">
        <v>9</v>
      </c>
      <c r="B21" s="19">
        <f>'[1]Data Entry'!D11</f>
        <v>0.05</v>
      </c>
      <c r="C21" s="20">
        <f>SUM(D21:E21)</f>
        <v>1135794.3500000001</v>
      </c>
      <c r="D21" s="20">
        <f>D19*5%</f>
        <v>166909.05000000002</v>
      </c>
      <c r="E21" s="21">
        <f>E19*5%</f>
        <v>968885.3</v>
      </c>
    </row>
    <row r="22" spans="1:8" x14ac:dyDescent="0.3">
      <c r="A22" s="18" t="s">
        <v>10</v>
      </c>
      <c r="B22" s="19">
        <f>'[1]Data Entry'!D12</f>
        <v>0</v>
      </c>
      <c r="C22" s="20">
        <f>SUM(D22:E22)</f>
        <v>0</v>
      </c>
      <c r="D22" s="20">
        <v>0</v>
      </c>
      <c r="E22" s="21">
        <f>E19*0%</f>
        <v>0</v>
      </c>
    </row>
    <row r="23" spans="1:8" ht="15" thickBot="1" x14ac:dyDescent="0.35">
      <c r="A23" s="23" t="s">
        <v>15</v>
      </c>
      <c r="B23" s="24">
        <f>'[1]Data Entry'!D13</f>
        <v>0.25</v>
      </c>
      <c r="C23" s="25">
        <f>SUM(D23:E23)</f>
        <v>3678971.75</v>
      </c>
      <c r="D23" s="25">
        <f>(D19*25%)-834545</f>
        <v>0.25</v>
      </c>
      <c r="E23" s="32">
        <f>(E19*25%)-1165455</f>
        <v>3678971.5</v>
      </c>
    </row>
    <row r="24" spans="1:8" ht="21.75" customHeight="1" thickBot="1" x14ac:dyDescent="0.35">
      <c r="A24" s="159" t="s">
        <v>16</v>
      </c>
      <c r="B24" s="160"/>
      <c r="C24" s="33">
        <f>SUM(C19,C13,C7)</f>
        <v>55413700</v>
      </c>
      <c r="D24" s="33">
        <f>SUM(D19,D13,D7)</f>
        <v>21498514</v>
      </c>
      <c r="E24" s="34">
        <f>SUM(E19,E13,E7)</f>
        <v>33915186</v>
      </c>
    </row>
    <row r="25" spans="1:8" ht="15" thickBot="1" x14ac:dyDescent="0.35">
      <c r="A25" s="35"/>
      <c r="B25" s="35"/>
      <c r="C25" s="35"/>
      <c r="D25" s="35"/>
      <c r="E25" s="35"/>
      <c r="F25" s="35"/>
      <c r="G25" s="35"/>
      <c r="H25" s="35"/>
    </row>
    <row r="26" spans="1:8" ht="25.5" customHeight="1" x14ac:dyDescent="0.35">
      <c r="A26" s="36" t="s">
        <v>17</v>
      </c>
      <c r="B26" s="37"/>
      <c r="C26" s="38"/>
      <c r="D26" s="3"/>
      <c r="E26" s="161" t="s">
        <v>18</v>
      </c>
      <c r="F26" s="161"/>
      <c r="G26" s="161"/>
      <c r="H26" s="161"/>
    </row>
    <row r="27" spans="1:8" x14ac:dyDescent="0.3">
      <c r="A27" s="39" t="s">
        <v>19</v>
      </c>
      <c r="B27" s="40"/>
      <c r="C27" s="41"/>
      <c r="E27" s="162" t="s">
        <v>20</v>
      </c>
      <c r="F27" s="162"/>
      <c r="G27" s="162"/>
      <c r="H27" s="162"/>
    </row>
    <row r="28" spans="1:8" ht="10.5" customHeight="1" x14ac:dyDescent="0.3">
      <c r="A28" s="42"/>
      <c r="B28" s="43"/>
      <c r="C28" s="44"/>
      <c r="E28" s="162"/>
      <c r="F28" s="162"/>
      <c r="G28" s="162"/>
      <c r="H28" s="162"/>
    </row>
    <row r="29" spans="1:8" x14ac:dyDescent="0.3">
      <c r="A29" s="163" t="s">
        <v>2</v>
      </c>
      <c r="B29" s="164"/>
      <c r="C29" s="45">
        <f>'[1]Data Entry'!B5</f>
        <v>15738264</v>
      </c>
      <c r="E29" s="162"/>
      <c r="F29" s="162"/>
      <c r="G29" s="162"/>
      <c r="H29" s="162"/>
    </row>
    <row r="30" spans="1:8" x14ac:dyDescent="0.3">
      <c r="A30" s="42" t="s">
        <v>21</v>
      </c>
      <c r="B30" s="46">
        <v>0.95</v>
      </c>
      <c r="C30" s="47">
        <f>C29*B30</f>
        <v>14951350.799999999</v>
      </c>
      <c r="E30" s="162"/>
      <c r="F30" s="162"/>
      <c r="G30" s="162"/>
      <c r="H30" s="162"/>
    </row>
    <row r="31" spans="1:8" x14ac:dyDescent="0.3">
      <c r="A31" s="42" t="s">
        <v>22</v>
      </c>
      <c r="B31" s="46">
        <v>0.05</v>
      </c>
      <c r="C31" s="47">
        <f>C29*B31</f>
        <v>786913.20000000007</v>
      </c>
      <c r="E31" s="162"/>
      <c r="F31" s="162"/>
      <c r="G31" s="162"/>
      <c r="H31" s="162"/>
    </row>
    <row r="32" spans="1:8" x14ac:dyDescent="0.3">
      <c r="A32" s="42" t="s">
        <v>10</v>
      </c>
      <c r="B32" s="46">
        <v>0</v>
      </c>
      <c r="C32" s="47">
        <f>C29*B32</f>
        <v>0</v>
      </c>
      <c r="E32" s="162"/>
      <c r="F32" s="162"/>
      <c r="G32" s="162"/>
      <c r="H32" s="162"/>
    </row>
    <row r="33" spans="1:8" x14ac:dyDescent="0.3">
      <c r="A33" s="163" t="s">
        <v>11</v>
      </c>
      <c r="B33" s="164"/>
      <c r="C33" s="45">
        <f>'[1]Data Entry'!B4</f>
        <v>16959549</v>
      </c>
      <c r="E33" s="162"/>
      <c r="F33" s="162"/>
      <c r="G33" s="162"/>
      <c r="H33" s="162"/>
    </row>
    <row r="34" spans="1:8" x14ac:dyDescent="0.3">
      <c r="A34" s="42" t="s">
        <v>21</v>
      </c>
      <c r="B34" s="46">
        <v>0.95</v>
      </c>
      <c r="C34" s="47">
        <f>C33*B34</f>
        <v>16111571.549999999</v>
      </c>
      <c r="E34" s="162"/>
      <c r="F34" s="162"/>
      <c r="G34" s="162"/>
      <c r="H34" s="162"/>
    </row>
    <row r="35" spans="1:8" x14ac:dyDescent="0.3">
      <c r="A35" s="42" t="s">
        <v>22</v>
      </c>
      <c r="B35" s="46">
        <v>0.05</v>
      </c>
      <c r="C35" s="47">
        <f>C33*B35</f>
        <v>847977.45000000007</v>
      </c>
      <c r="E35" s="162"/>
      <c r="F35" s="162"/>
      <c r="G35" s="162"/>
      <c r="H35" s="162"/>
    </row>
    <row r="36" spans="1:8" x14ac:dyDescent="0.3">
      <c r="A36" s="42" t="s">
        <v>10</v>
      </c>
      <c r="B36" s="46">
        <v>0</v>
      </c>
      <c r="C36" s="47">
        <f>C33*B36</f>
        <v>0</v>
      </c>
      <c r="E36" s="162"/>
      <c r="F36" s="162"/>
      <c r="G36" s="162"/>
      <c r="H36" s="162"/>
    </row>
    <row r="37" spans="1:8" x14ac:dyDescent="0.3">
      <c r="A37" s="163" t="s">
        <v>13</v>
      </c>
      <c r="B37" s="164"/>
      <c r="C37" s="45">
        <f>'[1]Data Entry'!B6</f>
        <v>22715887</v>
      </c>
      <c r="E37" s="162"/>
      <c r="F37" s="162"/>
      <c r="G37" s="162"/>
      <c r="H37" s="162"/>
    </row>
    <row r="38" spans="1:8" x14ac:dyDescent="0.3">
      <c r="A38" s="42" t="s">
        <v>21</v>
      </c>
      <c r="B38" s="46">
        <v>0.7</v>
      </c>
      <c r="C38" s="47">
        <f>C37*B38</f>
        <v>15901120.899999999</v>
      </c>
      <c r="E38" s="162"/>
      <c r="F38" s="162"/>
      <c r="G38" s="162"/>
      <c r="H38" s="162"/>
    </row>
    <row r="39" spans="1:8" x14ac:dyDescent="0.3">
      <c r="A39" s="42" t="s">
        <v>22</v>
      </c>
      <c r="B39" s="46">
        <v>0.05</v>
      </c>
      <c r="C39" s="47">
        <f>C37*B39</f>
        <v>1135794.3500000001</v>
      </c>
      <c r="E39" s="162"/>
      <c r="F39" s="162"/>
      <c r="G39" s="162"/>
      <c r="H39" s="162"/>
    </row>
    <row r="40" spans="1:8" x14ac:dyDescent="0.3">
      <c r="A40" s="42" t="s">
        <v>10</v>
      </c>
      <c r="B40" s="46">
        <v>0</v>
      </c>
      <c r="C40" s="47">
        <f>C37*B40</f>
        <v>0</v>
      </c>
      <c r="E40" s="162"/>
      <c r="F40" s="162"/>
      <c r="G40" s="162"/>
      <c r="H40" s="162"/>
    </row>
    <row r="41" spans="1:8" x14ac:dyDescent="0.3">
      <c r="A41" s="42" t="s">
        <v>15</v>
      </c>
      <c r="B41" s="46">
        <v>0.25</v>
      </c>
      <c r="C41" s="47">
        <f>C37*B41</f>
        <v>5678971.75</v>
      </c>
      <c r="E41" s="162"/>
      <c r="F41" s="162"/>
      <c r="G41" s="162"/>
      <c r="H41" s="162"/>
    </row>
    <row r="42" spans="1:8" x14ac:dyDescent="0.3">
      <c r="A42" s="165" t="s">
        <v>23</v>
      </c>
      <c r="B42" s="166"/>
      <c r="C42" s="48">
        <f>SUM(C37,C33,C29)</f>
        <v>55413700</v>
      </c>
      <c r="E42" s="162"/>
      <c r="F42" s="162"/>
      <c r="G42" s="162"/>
      <c r="H42" s="162"/>
    </row>
  </sheetData>
  <mergeCells count="15">
    <mergeCell ref="A13:B13"/>
    <mergeCell ref="A1:B1"/>
    <mergeCell ref="A3:E3"/>
    <mergeCell ref="A5:E5"/>
    <mergeCell ref="A7:B7"/>
    <mergeCell ref="A11:E11"/>
    <mergeCell ref="A17:E17"/>
    <mergeCell ref="A19:B19"/>
    <mergeCell ref="A24:B24"/>
    <mergeCell ref="E26:H26"/>
    <mergeCell ref="E27:H42"/>
    <mergeCell ref="A29:B29"/>
    <mergeCell ref="A33:B33"/>
    <mergeCell ref="A37:B37"/>
    <mergeCell ref="A42:B42"/>
  </mergeCells>
  <pageMargins left="0.7" right="0.7" top="0.75" bottom="0.25" header="0.3" footer="0"/>
  <pageSetup orientation="portrait" r:id="rId1"/>
  <headerFooter>
    <oddHeader xml:space="preserve">&amp;C&amp;"-,Bold"&amp;12
WIA Planning Allocations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/>
  </sheetPr>
  <dimension ref="A1:I49"/>
  <sheetViews>
    <sheetView view="pageLayout" zoomScaleNormal="100" workbookViewId="0">
      <selection activeCell="E7" sqref="E7"/>
    </sheetView>
  </sheetViews>
  <sheetFormatPr defaultRowHeight="14.4" x14ac:dyDescent="0.3"/>
  <cols>
    <col min="1" max="1" width="12.5546875" customWidth="1"/>
    <col min="2" max="2" width="6.5546875" customWidth="1"/>
    <col min="3" max="3" width="11.109375" customWidth="1"/>
    <col min="4" max="4" width="14.88671875" customWidth="1"/>
    <col min="5" max="5" width="11.109375" customWidth="1"/>
    <col min="6" max="6" width="15.5546875" customWidth="1"/>
    <col min="7" max="7" width="11.109375" customWidth="1"/>
    <col min="8" max="8" width="14.44140625" customWidth="1"/>
    <col min="9" max="9" width="7.88671875" customWidth="1"/>
    <col min="10" max="10" width="11.6640625" customWidth="1"/>
    <col min="11" max="11" width="7.88671875" customWidth="1"/>
    <col min="12" max="12" width="11.6640625" customWidth="1"/>
    <col min="13" max="13" width="7.88671875" customWidth="1"/>
    <col min="14" max="14" width="9.6640625" customWidth="1"/>
  </cols>
  <sheetData>
    <row r="1" spans="1:9" x14ac:dyDescent="0.3">
      <c r="A1" s="49" t="s">
        <v>0</v>
      </c>
      <c r="B1" s="190" t="str">
        <f>'[1]Data Entry'!B1</f>
        <v>PY 2012</v>
      </c>
      <c r="C1" s="190"/>
      <c r="D1" s="50" t="s">
        <v>24</v>
      </c>
      <c r="E1" s="51">
        <f>'[1]Data Entry'!B212</f>
        <v>15901121</v>
      </c>
      <c r="F1" s="191" t="s">
        <v>25</v>
      </c>
      <c r="G1" s="191"/>
      <c r="H1" s="52">
        <f>'[1]Data Entry'!H232</f>
        <v>7.5</v>
      </c>
      <c r="I1" s="49"/>
    </row>
    <row r="2" spans="1:9" ht="8.25" customHeight="1" thickBot="1" x14ac:dyDescent="0.35"/>
    <row r="3" spans="1:9" ht="16.2" thickTop="1" x14ac:dyDescent="0.3">
      <c r="A3" s="53"/>
      <c r="B3" s="54"/>
      <c r="C3" s="192" t="s">
        <v>26</v>
      </c>
      <c r="D3" s="193"/>
      <c r="F3" s="194" t="s">
        <v>27</v>
      </c>
      <c r="G3" s="195"/>
      <c r="H3" s="196"/>
    </row>
    <row r="4" spans="1:9" ht="15" thickBot="1" x14ac:dyDescent="0.35">
      <c r="A4" s="55"/>
      <c r="B4" s="56"/>
      <c r="C4" s="57" t="s">
        <v>28</v>
      </c>
      <c r="D4" s="58" t="s">
        <v>29</v>
      </c>
      <c r="F4" s="59">
        <f>'[1]Data Entry'!B238</f>
        <v>2000000</v>
      </c>
      <c r="G4" s="60" t="s">
        <v>28</v>
      </c>
      <c r="H4" s="61" t="s">
        <v>29</v>
      </c>
    </row>
    <row r="5" spans="1:9" x14ac:dyDescent="0.3">
      <c r="A5" s="197" t="s">
        <v>30</v>
      </c>
      <c r="B5" s="198"/>
      <c r="C5" s="62">
        <f>D5/$D$17</f>
        <v>4.0928304178454854E-2</v>
      </c>
      <c r="D5" s="63">
        <f>SUM(D21,F21,H21,D37,F37,H37,H5)+0.05</f>
        <v>732662.52746974118</v>
      </c>
      <c r="F5" s="64" t="s">
        <v>30</v>
      </c>
      <c r="G5" s="65">
        <f>'[1]DW Allocation by WDA - No Mit.'!C5</f>
        <v>4.0928302185557638E-2</v>
      </c>
      <c r="H5" s="66">
        <f>$F$4*G5</f>
        <v>81856.604371115274</v>
      </c>
    </row>
    <row r="6" spans="1:9" x14ac:dyDescent="0.3">
      <c r="A6" s="184" t="s">
        <v>31</v>
      </c>
      <c r="B6" s="185"/>
      <c r="C6" s="67">
        <f t="shared" ref="C6:C16" si="0">D6/$D$17</f>
        <v>8.1449975344793632E-2</v>
      </c>
      <c r="D6" s="68">
        <f t="shared" ref="D6:D16" si="1">SUM(D22,F22,H22,D38,F38,H38,H6)</f>
        <v>1458045.8681666665</v>
      </c>
      <c r="F6" s="69" t="s">
        <v>31</v>
      </c>
      <c r="G6" s="70">
        <f>'[1]DW Allocation by WDA - No Mit.'!C6</f>
        <v>8.144997693729121E-2</v>
      </c>
      <c r="H6" s="71">
        <f>$F$4*G6</f>
        <v>162899.95387458242</v>
      </c>
    </row>
    <row r="7" spans="1:9" x14ac:dyDescent="0.3">
      <c r="A7" s="184" t="s">
        <v>32</v>
      </c>
      <c r="B7" s="185"/>
      <c r="C7" s="67">
        <f t="shared" si="0"/>
        <v>6.472920966803454E-2</v>
      </c>
      <c r="D7" s="68">
        <f t="shared" si="1"/>
        <v>1158725.4177383166</v>
      </c>
      <c r="F7" s="69" t="s">
        <v>32</v>
      </c>
      <c r="G7" s="70">
        <f>'[1]DW Allocation by WDA - No Mit.'!C7</f>
        <v>6.4729210933610226E-2</v>
      </c>
      <c r="H7" s="71">
        <f t="shared" ref="H7:H16" si="2">$F$4*G7</f>
        <v>129458.42186722046</v>
      </c>
    </row>
    <row r="8" spans="1:9" x14ac:dyDescent="0.3">
      <c r="A8" s="184" t="s">
        <v>33</v>
      </c>
      <c r="B8" s="185"/>
      <c r="C8" s="67">
        <f t="shared" si="0"/>
        <v>0.10823398542622087</v>
      </c>
      <c r="D8" s="68">
        <f t="shared" si="1"/>
        <v>1937509.6748387157</v>
      </c>
      <c r="F8" s="69" t="s">
        <v>33</v>
      </c>
      <c r="G8" s="70">
        <f>'[1]DW Allocation by WDA - No Mit.'!C8</f>
        <v>0.10823398754239535</v>
      </c>
      <c r="H8" s="71">
        <f t="shared" si="2"/>
        <v>216467.9750847907</v>
      </c>
    </row>
    <row r="9" spans="1:9" x14ac:dyDescent="0.3">
      <c r="A9" s="184" t="s">
        <v>34</v>
      </c>
      <c r="B9" s="185"/>
      <c r="C9" s="67">
        <f t="shared" si="0"/>
        <v>0.2511123414115829</v>
      </c>
      <c r="D9" s="68">
        <f t="shared" si="1"/>
        <v>4495192.4207576737</v>
      </c>
      <c r="F9" s="69" t="s">
        <v>34</v>
      </c>
      <c r="G9" s="70">
        <f>'[1]DW Allocation by WDA - No Mit.'!C9</f>
        <v>0.25111234632129337</v>
      </c>
      <c r="H9" s="71">
        <f t="shared" si="2"/>
        <v>502224.69264258671</v>
      </c>
    </row>
    <row r="10" spans="1:9" x14ac:dyDescent="0.3">
      <c r="A10" s="184" t="s">
        <v>35</v>
      </c>
      <c r="B10" s="185"/>
      <c r="C10" s="67">
        <f t="shared" si="0"/>
        <v>0.12217658879665659</v>
      </c>
      <c r="D10" s="68">
        <f t="shared" si="1"/>
        <v>2187097.9055250236</v>
      </c>
      <c r="F10" s="69" t="s">
        <v>35</v>
      </c>
      <c r="G10" s="70">
        <f>'[1]DW Allocation by WDA - No Mit.'!C10</f>
        <v>0.12217659118543475</v>
      </c>
      <c r="H10" s="71">
        <f t="shared" si="2"/>
        <v>244353.1823708695</v>
      </c>
    </row>
    <row r="11" spans="1:9" x14ac:dyDescent="0.3">
      <c r="A11" s="184" t="s">
        <v>36</v>
      </c>
      <c r="B11" s="185"/>
      <c r="C11" s="67">
        <f t="shared" si="0"/>
        <v>7.8505328109802083E-2</v>
      </c>
      <c r="D11" s="72">
        <f t="shared" si="1"/>
        <v>1405333.3815635347</v>
      </c>
      <c r="F11" s="69" t="s">
        <v>36</v>
      </c>
      <c r="G11" s="70">
        <f>'[1]DW Allocation by WDA - No Mit.'!C11</f>
        <v>7.8505329644726354E-2</v>
      </c>
      <c r="H11" s="71">
        <f t="shared" si="2"/>
        <v>157010.65928945271</v>
      </c>
    </row>
    <row r="12" spans="1:9" x14ac:dyDescent="0.3">
      <c r="A12" s="184" t="s">
        <v>37</v>
      </c>
      <c r="B12" s="185"/>
      <c r="C12" s="67">
        <f t="shared" si="0"/>
        <v>4.7174200048846489E-2</v>
      </c>
      <c r="D12" s="68">
        <f t="shared" si="1"/>
        <v>844471.06551131699</v>
      </c>
      <c r="F12" s="69" t="s">
        <v>37</v>
      </c>
      <c r="G12" s="70">
        <f>'[1]DW Allocation by WDA - No Mit.'!C12</f>
        <v>4.7174189798704441E-2</v>
      </c>
      <c r="H12" s="71">
        <f t="shared" si="2"/>
        <v>94348.379597408886</v>
      </c>
    </row>
    <row r="13" spans="1:9" x14ac:dyDescent="0.3">
      <c r="A13" s="184" t="s">
        <v>38</v>
      </c>
      <c r="B13" s="185"/>
      <c r="C13" s="67">
        <f t="shared" si="0"/>
        <v>6.3931817410006198E-2</v>
      </c>
      <c r="D13" s="68">
        <f t="shared" si="1"/>
        <v>1144451.2024030185</v>
      </c>
      <c r="F13" s="69" t="s">
        <v>38</v>
      </c>
      <c r="G13" s="70">
        <f>'[1]DW Allocation by WDA - No Mit.'!C13</f>
        <v>6.3931813073748983E-2</v>
      </c>
      <c r="H13" s="71">
        <f t="shared" si="2"/>
        <v>127863.62614749797</v>
      </c>
    </row>
    <row r="14" spans="1:9" x14ac:dyDescent="0.3">
      <c r="A14" s="184" t="s">
        <v>39</v>
      </c>
      <c r="B14" s="185"/>
      <c r="C14" s="67">
        <f t="shared" si="0"/>
        <v>2.3900697770756277E-2</v>
      </c>
      <c r="D14" s="72">
        <f t="shared" si="1"/>
        <v>427849.2839737733</v>
      </c>
      <c r="F14" s="69" t="s">
        <v>39</v>
      </c>
      <c r="G14" s="70">
        <f>'[1]DW Allocation by WDA - No Mit.'!C14</f>
        <v>2.3900698238059102E-2</v>
      </c>
      <c r="H14" s="71">
        <f t="shared" si="2"/>
        <v>47801.396476118207</v>
      </c>
    </row>
    <row r="15" spans="1:9" x14ac:dyDescent="0.3">
      <c r="A15" s="184" t="s">
        <v>40</v>
      </c>
      <c r="B15" s="185"/>
      <c r="C15" s="67">
        <f t="shared" si="0"/>
        <v>4.8690615750337347E-2</v>
      </c>
      <c r="D15" s="68">
        <f t="shared" si="1"/>
        <v>871616.60654582549</v>
      </c>
      <c r="F15" s="69" t="s">
        <v>40</v>
      </c>
      <c r="G15" s="70">
        <f>'[1]DW Allocation by WDA - No Mit.'!C15</f>
        <v>4.8690616702328889E-2</v>
      </c>
      <c r="H15" s="71">
        <f t="shared" si="2"/>
        <v>97381.233404657774</v>
      </c>
    </row>
    <row r="16" spans="1:9" ht="15" thickBot="1" x14ac:dyDescent="0.35">
      <c r="A16" s="186" t="s">
        <v>41</v>
      </c>
      <c r="B16" s="187"/>
      <c r="C16" s="73">
        <f t="shared" si="0"/>
        <v>6.9166936084508232E-2</v>
      </c>
      <c r="D16" s="74">
        <f t="shared" si="1"/>
        <v>1238165.6955063948</v>
      </c>
      <c r="F16" s="69" t="s">
        <v>41</v>
      </c>
      <c r="G16" s="75">
        <f>'[1]DW Allocation by WDA - No Mit.'!C16</f>
        <v>6.9166937436849679E-2</v>
      </c>
      <c r="H16" s="76">
        <f t="shared" si="2"/>
        <v>138333.87487369936</v>
      </c>
    </row>
    <row r="17" spans="1:8" ht="15" thickBot="1" x14ac:dyDescent="0.35">
      <c r="A17" s="188" t="s">
        <v>42</v>
      </c>
      <c r="B17" s="189"/>
      <c r="C17" s="77">
        <f>SUM(C5:C16)</f>
        <v>1.0000000000000002</v>
      </c>
      <c r="D17" s="78">
        <f>SUM(D5:D16)</f>
        <v>17901121.050000001</v>
      </c>
      <c r="F17" s="79" t="s">
        <v>42</v>
      </c>
      <c r="G17" s="80">
        <f>'[1]DW Allocation by WDA - No Mit.'!C17</f>
        <v>0.99999999999999989</v>
      </c>
      <c r="H17" s="81">
        <f>SUM(H5:H16)</f>
        <v>2000000</v>
      </c>
    </row>
    <row r="18" spans="1:8" ht="15.6" thickTop="1" thickBot="1" x14ac:dyDescent="0.35"/>
    <row r="19" spans="1:8" ht="27" customHeight="1" x14ac:dyDescent="0.3">
      <c r="A19" s="82"/>
      <c r="B19" s="83"/>
      <c r="C19" s="175" t="s">
        <v>43</v>
      </c>
      <c r="D19" s="176"/>
      <c r="E19" s="182" t="s">
        <v>44</v>
      </c>
      <c r="F19" s="183"/>
      <c r="G19" s="175" t="s">
        <v>45</v>
      </c>
      <c r="H19" s="176"/>
    </row>
    <row r="20" spans="1:8" ht="15" thickBot="1" x14ac:dyDescent="0.35">
      <c r="A20" s="84"/>
      <c r="B20" s="85"/>
      <c r="C20" s="86" t="s">
        <v>28</v>
      </c>
      <c r="D20" s="61" t="s">
        <v>29</v>
      </c>
      <c r="E20" s="86" t="s">
        <v>28</v>
      </c>
      <c r="F20" s="61" t="s">
        <v>29</v>
      </c>
      <c r="G20" s="86" t="s">
        <v>28</v>
      </c>
      <c r="H20" s="61" t="s">
        <v>29</v>
      </c>
    </row>
    <row r="21" spans="1:8" ht="13.5" customHeight="1" x14ac:dyDescent="0.3">
      <c r="A21" s="177" t="s">
        <v>30</v>
      </c>
      <c r="B21" s="178"/>
      <c r="C21" s="87">
        <f>'[1]Data Entry'!B216/'[1]Data Entry'!$B$228</f>
        <v>4.3082443034246388E-2</v>
      </c>
      <c r="D21" s="88">
        <f>C21*'[1]Data Entry'!$B$233</f>
        <v>91341.218621754539</v>
      </c>
      <c r="E21" s="87">
        <f>'[1]Data Entry'!C216/'[1]Data Entry'!$C$228</f>
        <v>4.0454964648017212E-2</v>
      </c>
      <c r="F21" s="88">
        <f>E21*'[1]Data Entry'!$C$233</f>
        <v>128655.85758376883</v>
      </c>
      <c r="G21" s="89">
        <f>'[1]Data Entry'!D216/'[1]Data Entry'!$D$228</f>
        <v>4.558502752570797E-2</v>
      </c>
      <c r="H21" s="90">
        <f>G21*'[1]Data Entry'!$D$233</f>
        <v>96647.071796615084</v>
      </c>
    </row>
    <row r="22" spans="1:8" ht="13.5" customHeight="1" x14ac:dyDescent="0.3">
      <c r="A22" s="171" t="s">
        <v>31</v>
      </c>
      <c r="B22" s="172"/>
      <c r="C22" s="67">
        <f>'[1]Data Entry'!B217/'[1]Data Entry'!$B$228</f>
        <v>7.8863987290366921E-2</v>
      </c>
      <c r="D22" s="91">
        <f>C22*'[1]Data Entry'!$B$233</f>
        <v>167203.44059287821</v>
      </c>
      <c r="E22" s="92">
        <f>'[1]Data Entry'!C217/'[1]Data Entry'!$C$228</f>
        <v>7.7048877958807258E-2</v>
      </c>
      <c r="F22" s="93">
        <f>E22*'[1]Data Entry'!$C$233</f>
        <v>245032.70626744546</v>
      </c>
      <c r="G22" s="94">
        <f>'[1]Data Entry'!D217/'[1]Data Entry'!$D$228</f>
        <v>7.7647991992521315E-2</v>
      </c>
      <c r="H22" s="95">
        <f>G22*'[1]Data Entry'!$D$233</f>
        <v>164625.34881068167</v>
      </c>
    </row>
    <row r="23" spans="1:8" ht="13.5" customHeight="1" x14ac:dyDescent="0.3">
      <c r="A23" s="171" t="s">
        <v>32</v>
      </c>
      <c r="B23" s="172"/>
      <c r="C23" s="67">
        <f>'[1]Data Entry'!B218/'[1]Data Entry'!$B$228</f>
        <v>6.2606545818048753E-2</v>
      </c>
      <c r="D23" s="93">
        <f>C23*'[1]Data Entry'!$B$233</f>
        <v>132735.23472597831</v>
      </c>
      <c r="E23" s="92">
        <f>'[1]Data Entry'!C218/'[1]Data Entry'!$C$228</f>
        <v>5.5007685213648939E-2</v>
      </c>
      <c r="F23" s="93">
        <f>E23*'[1]Data Entry'!$C$233</f>
        <v>174936.77170242855</v>
      </c>
      <c r="G23" s="94">
        <f>'[1]Data Entry'!D218/'[1]Data Entry'!$D$228</f>
        <v>5.9177911445595414E-2</v>
      </c>
      <c r="H23" s="95">
        <f>G23*'[1]Data Entry'!$D$233</f>
        <v>125466.01738982636</v>
      </c>
    </row>
    <row r="24" spans="1:8" ht="13.5" customHeight="1" x14ac:dyDescent="0.3">
      <c r="A24" s="171" t="s">
        <v>33</v>
      </c>
      <c r="B24" s="172"/>
      <c r="C24" s="67">
        <f>'[1]Data Entry'!B219/'[1]Data Entry'!$B$228</f>
        <v>0.10836658009121661</v>
      </c>
      <c r="D24" s="93">
        <f>C24*'[1]Data Entry'!$B$233</f>
        <v>229753.34698488351</v>
      </c>
      <c r="E24" s="92">
        <f>'[1]Data Entry'!C219/'[1]Data Entry'!$C$228</f>
        <v>0.1130710113741162</v>
      </c>
      <c r="F24" s="93">
        <f>E24*'[1]Data Entry'!$C$233</f>
        <v>359591.16669043963</v>
      </c>
      <c r="G24" s="94">
        <f>'[1]Data Entry'!D219/'[1]Data Entry'!$D$228</f>
        <v>0.11530108308703411</v>
      </c>
      <c r="H24" s="95">
        <f>G24*'[1]Data Entry'!$D$233</f>
        <v>244455.52981306441</v>
      </c>
    </row>
    <row r="25" spans="1:8" ht="13.5" customHeight="1" x14ac:dyDescent="0.3">
      <c r="A25" s="171" t="s">
        <v>34</v>
      </c>
      <c r="B25" s="172"/>
      <c r="C25" s="67">
        <f>'[1]Data Entry'!B220/'[1]Data Entry'!$B$228</f>
        <v>0.24147410323006757</v>
      </c>
      <c r="D25" s="93">
        <f>C25*'[1]Data Entry'!$B$233</f>
        <v>511961.19117703941</v>
      </c>
      <c r="E25" s="92">
        <f>'[1]Data Entry'!C220/'[1]Data Entry'!$C$228</f>
        <v>0.24487549953888718</v>
      </c>
      <c r="F25" s="93">
        <f>E25*'[1]Data Entry'!$C$233</f>
        <v>778758.98962065787</v>
      </c>
      <c r="G25" s="94">
        <f>'[1]Data Entry'!D220/'[1]Data Entry'!$D$228</f>
        <v>0.28088969886969906</v>
      </c>
      <c r="H25" s="95">
        <f>G25*'[1]Data Entry'!$D$233</f>
        <v>595528.14525075303</v>
      </c>
    </row>
    <row r="26" spans="1:8" ht="13.5" customHeight="1" x14ac:dyDescent="0.3">
      <c r="A26" s="171" t="s">
        <v>35</v>
      </c>
      <c r="B26" s="172"/>
      <c r="C26" s="67">
        <f>'[1]Data Entry'!B221/'[1]Data Entry'!$B$228</f>
        <v>0.12918485197383101</v>
      </c>
      <c r="D26" s="93">
        <f>C26*'[1]Data Entry'!$B$233</f>
        <v>273891.19501373009</v>
      </c>
      <c r="E26" s="92">
        <f>'[1]Data Entry'!C221/'[1]Data Entry'!$C$228</f>
        <v>0.12609898555179835</v>
      </c>
      <c r="F26" s="93">
        <f>E26*'[1]Data Entry'!$C$233</f>
        <v>401023.04544727952</v>
      </c>
      <c r="G26" s="94">
        <f>'[1]Data Entry'!D221/'[1]Data Entry'!$D$228</f>
        <v>0.13972955873882212</v>
      </c>
      <c r="H26" s="95">
        <f>G26*'[1]Data Entry'!$D$233</f>
        <v>296247.54943768238</v>
      </c>
    </row>
    <row r="27" spans="1:8" ht="13.5" customHeight="1" x14ac:dyDescent="0.3">
      <c r="A27" s="171" t="s">
        <v>36</v>
      </c>
      <c r="B27" s="172"/>
      <c r="C27" s="67">
        <f>'[1]Data Entry'!B222/'[1]Data Entry'!$B$228</f>
        <v>6.3891789612731051E-2</v>
      </c>
      <c r="D27" s="93">
        <f>C27*'[1]Data Entry'!$B$233</f>
        <v>135460.14367181063</v>
      </c>
      <c r="E27" s="92">
        <f>'[1]Data Entry'!C222/'[1]Data Entry'!$C$228</f>
        <v>0.12542883492161083</v>
      </c>
      <c r="F27" s="93">
        <f>E27*'[1]Data Entry'!$C$233</f>
        <v>398891.8161955119</v>
      </c>
      <c r="G27" s="94">
        <f>'[1]Data Entry'!D222/'[1]Data Entry'!$D$228</f>
        <v>6.5329883570504524E-2</v>
      </c>
      <c r="H27" s="95">
        <f>G27*'[1]Data Entry'!$D$233</f>
        <v>138509.1178094006</v>
      </c>
    </row>
    <row r="28" spans="1:8" ht="13.5" customHeight="1" x14ac:dyDescent="0.3">
      <c r="A28" s="171" t="s">
        <v>37</v>
      </c>
      <c r="B28" s="172"/>
      <c r="C28" s="67">
        <f>'[1]Data Entry'!B223/'[1]Data Entry'!$B$228</f>
        <v>5.6059835238885768E-2</v>
      </c>
      <c r="D28" s="93">
        <f>C28*'[1]Data Entry'!$B$233</f>
        <v>118855.22978314487</v>
      </c>
      <c r="E28" s="92">
        <f>'[1]Data Entry'!C223/'[1]Data Entry'!$C$228</f>
        <v>3.8647402397786655E-2</v>
      </c>
      <c r="F28" s="93">
        <f>E28*'[1]Data Entry'!$C$233</f>
        <v>122907.40437257916</v>
      </c>
      <c r="G28" s="94">
        <f>'[1]Data Entry'!D223/'[1]Data Entry'!$D$228</f>
        <v>4.1019442687037895E-2</v>
      </c>
      <c r="H28" s="95">
        <f>G28*'[1]Data Entry'!$D$233</f>
        <v>86967.349535887304</v>
      </c>
    </row>
    <row r="29" spans="1:8" ht="13.5" customHeight="1" x14ac:dyDescent="0.3">
      <c r="A29" s="171" t="s">
        <v>38</v>
      </c>
      <c r="B29" s="172"/>
      <c r="C29" s="67">
        <f>'[1]Data Entry'!B224/'[1]Data Entry'!$B$228</f>
        <v>7.3477566248069906E-2</v>
      </c>
      <c r="D29" s="93">
        <f>C29*'[1]Data Entry'!$B$233</f>
        <v>155783.42289281008</v>
      </c>
      <c r="E29" s="92">
        <f>'[1]Data Entry'!C224/'[1]Data Entry'!$C$228</f>
        <v>5.4866277282508452E-2</v>
      </c>
      <c r="F29" s="93">
        <f>E29*'[1]Data Entry'!$C$233</f>
        <v>174487.06277774362</v>
      </c>
      <c r="G29" s="94">
        <f>'[1]Data Entry'!D224/'[1]Data Entry'!$D$228</f>
        <v>5.3205352168534767E-2</v>
      </c>
      <c r="H29" s="95">
        <f>G29*'[1]Data Entry'!$D$233</f>
        <v>112803.29902393118</v>
      </c>
    </row>
    <row r="30" spans="1:8" ht="13.5" customHeight="1" x14ac:dyDescent="0.3">
      <c r="A30" s="171" t="s">
        <v>39</v>
      </c>
      <c r="B30" s="172"/>
      <c r="C30" s="67">
        <f>'[1]Data Entry'!B225/'[1]Data Entry'!$B$228</f>
        <v>2.2264171151631991E-2</v>
      </c>
      <c r="D30" s="93">
        <f>C30*'[1]Data Entry'!$B$233</f>
        <v>47203.370592907952</v>
      </c>
      <c r="E30" s="92">
        <f>'[1]Data Entry'!C225/'[1]Data Entry'!$C$228</f>
        <v>2.6246541653857976E-2</v>
      </c>
      <c r="F30" s="93">
        <f>E30*'[1]Data Entry'!$C$233</f>
        <v>83469.886933907168</v>
      </c>
      <c r="G30" s="94">
        <f>'[1]Data Entry'!D225/'[1]Data Entry'!$D$228</f>
        <v>1.9149960812456918E-2</v>
      </c>
      <c r="H30" s="95">
        <f>G30*'[1]Data Entry'!$D$233</f>
        <v>40600.779203218102</v>
      </c>
    </row>
    <row r="31" spans="1:8" ht="13.5" customHeight="1" x14ac:dyDescent="0.3">
      <c r="A31" s="171" t="s">
        <v>40</v>
      </c>
      <c r="B31" s="172"/>
      <c r="C31" s="67">
        <f>'[1]Data Entry'!B226/'[1]Data Entry'!$B$228</f>
        <v>4.92498281878955E-2</v>
      </c>
      <c r="D31" s="93">
        <f>C31*'[1]Data Entry'!$B$233</f>
        <v>104416.99696599162</v>
      </c>
      <c r="E31" s="92">
        <f>'[1]Data Entry'!C226/'[1]Data Entry'!$C$228</f>
        <v>2.8226252689824777E-2</v>
      </c>
      <c r="F31" s="93">
        <f>E31*'[1]Data Entry'!$C$233</f>
        <v>89765.811879495857</v>
      </c>
      <c r="G31" s="94">
        <f>'[1]Data Entry'!D226/'[1]Data Entry'!$D$228</f>
        <v>3.1080915194379655E-2</v>
      </c>
      <c r="H31" s="95">
        <f>G31*'[1]Data Entry'!$D$233</f>
        <v>65896.185772875921</v>
      </c>
    </row>
    <row r="32" spans="1:8" ht="13.5" customHeight="1" thickBot="1" x14ac:dyDescent="0.35">
      <c r="A32" s="173" t="s">
        <v>41</v>
      </c>
      <c r="B32" s="174"/>
      <c r="C32" s="73">
        <f>'[1]Data Entry'!B227/'[1]Data Entry'!$B$228</f>
        <v>7.1478298123008543E-2</v>
      </c>
      <c r="D32" s="96">
        <f>C32*'[1]Data Entry'!$B$233</f>
        <v>151544.67564373757</v>
      </c>
      <c r="E32" s="97">
        <f>'[1]Data Entry'!C227/'[1]Data Entry'!$C$228</f>
        <v>7.0027666769136188E-2</v>
      </c>
      <c r="F32" s="96">
        <f>E32*'[1]Data Entry'!$C$233</f>
        <v>222703.68052874273</v>
      </c>
      <c r="G32" s="98">
        <f>'[1]Data Entry'!D227/'[1]Data Entry'!$D$228</f>
        <v>7.1883173907706252E-2</v>
      </c>
      <c r="H32" s="99">
        <f>G32*'[1]Data Entry'!$D$233</f>
        <v>152403.07282273067</v>
      </c>
    </row>
    <row r="33" spans="1:8" ht="13.5" customHeight="1" thickBot="1" x14ac:dyDescent="0.35">
      <c r="A33" s="169" t="s">
        <v>42</v>
      </c>
      <c r="B33" s="170"/>
      <c r="C33" s="100">
        <f t="shared" ref="C33:H33" si="3">SUM(C21:C32)</f>
        <v>1</v>
      </c>
      <c r="D33" s="101">
        <f t="shared" si="3"/>
        <v>2120149.4666666668</v>
      </c>
      <c r="E33" s="100">
        <f t="shared" si="3"/>
        <v>1</v>
      </c>
      <c r="F33" s="101">
        <f t="shared" si="3"/>
        <v>3180224.2000000007</v>
      </c>
      <c r="G33" s="102">
        <f t="shared" si="3"/>
        <v>0.99999999999999989</v>
      </c>
      <c r="H33" s="101">
        <f t="shared" si="3"/>
        <v>2120149.4666666668</v>
      </c>
    </row>
    <row r="34" spans="1:8" ht="13.5" customHeight="1" thickBot="1" x14ac:dyDescent="0.35"/>
    <row r="35" spans="1:8" ht="27" customHeight="1" x14ac:dyDescent="0.3">
      <c r="A35" s="82"/>
      <c r="B35" s="83"/>
      <c r="C35" s="175" t="s">
        <v>46</v>
      </c>
      <c r="D35" s="176"/>
      <c r="E35" s="179" t="s">
        <v>47</v>
      </c>
      <c r="F35" s="180"/>
      <c r="G35" s="181" t="s">
        <v>48</v>
      </c>
      <c r="H35" s="176"/>
    </row>
    <row r="36" spans="1:8" ht="14.25" customHeight="1" thickBot="1" x14ac:dyDescent="0.35">
      <c r="A36" s="84"/>
      <c r="B36" s="85"/>
      <c r="C36" s="86" t="s">
        <v>28</v>
      </c>
      <c r="D36" s="61" t="s">
        <v>29</v>
      </c>
      <c r="E36" s="86" t="s">
        <v>28</v>
      </c>
      <c r="F36" s="61" t="s">
        <v>29</v>
      </c>
      <c r="G36" s="103" t="s">
        <v>28</v>
      </c>
      <c r="H36" s="61" t="s">
        <v>29</v>
      </c>
    </row>
    <row r="37" spans="1:8" ht="13.5" customHeight="1" x14ac:dyDescent="0.3">
      <c r="A37" s="177" t="s">
        <v>30</v>
      </c>
      <c r="B37" s="178"/>
      <c r="C37" s="87">
        <f>'[1]Data Entry'!E216/'[1]Data Entry'!$E$228</f>
        <v>5.3856296543911455E-2</v>
      </c>
      <c r="D37" s="90">
        <f>C37*'[1]Data Entry'!$E$233</f>
        <v>114183.39839421572</v>
      </c>
      <c r="E37" s="87">
        <f>'[1]Data Entry'!F216/'[1]Data Entry'!$F$228</f>
        <v>2.0171798088987551E-2</v>
      </c>
      <c r="F37" s="90">
        <f>E37*'[1]Data Entry'!$F$233</f>
        <v>42767.226960074644</v>
      </c>
      <c r="G37" s="89">
        <f>'[1]Data Entry'!G216/'[1]Data Entry'!$G$228</f>
        <v>4.1792124217735267E-2</v>
      </c>
      <c r="H37" s="90">
        <f>G37*'[1]Data Entry'!$G$233</f>
        <v>177211.09974219702</v>
      </c>
    </row>
    <row r="38" spans="1:8" ht="13.5" customHeight="1" x14ac:dyDescent="0.3">
      <c r="A38" s="171" t="s">
        <v>31</v>
      </c>
      <c r="B38" s="172"/>
      <c r="C38" s="92">
        <f>'[1]Data Entry'!E217/'[1]Data Entry'!$E$228</f>
        <v>8.999572863854996E-2</v>
      </c>
      <c r="D38" s="93">
        <f>C38*'[1]Data Entry'!$E$233</f>
        <v>190804.39607529977</v>
      </c>
      <c r="E38" s="92">
        <f>'[1]Data Entry'!F217/'[1]Data Entry'!$F$228</f>
        <v>0.10549174790078178</v>
      </c>
      <c r="F38" s="93">
        <f>E38*'[1]Data Entry'!$F$233</f>
        <v>223658.27304957696</v>
      </c>
      <c r="G38" s="94">
        <f>'[1]Data Entry'!G217/'[1]Data Entry'!$G$228</f>
        <v>7.165102137206282E-2</v>
      </c>
      <c r="H38" s="93">
        <f>G38*'[1]Data Entry'!$G$233</f>
        <v>303821.74949620187</v>
      </c>
    </row>
    <row r="39" spans="1:8" ht="13.5" customHeight="1" x14ac:dyDescent="0.3">
      <c r="A39" s="171" t="s">
        <v>32</v>
      </c>
      <c r="B39" s="172"/>
      <c r="C39" s="92">
        <f>'[1]Data Entry'!E218/'[1]Data Entry'!$E$228</f>
        <v>7.5863093579958032E-2</v>
      </c>
      <c r="D39" s="93">
        <f>C39*'[1]Data Entry'!$E$233</f>
        <v>160841.09739323147</v>
      </c>
      <c r="E39" s="92">
        <f>'[1]Data Entry'!F218/'[1]Data Entry'!$F$228</f>
        <v>8.9180581024997582E-2</v>
      </c>
      <c r="F39" s="93">
        <f>E39*'[1]Data Entry'!$F$233</f>
        <v>189076.16129717208</v>
      </c>
      <c r="G39" s="94">
        <f>'[1]Data Entry'!G218/'[1]Data Entry'!$G$228</f>
        <v>5.8064706576927617E-2</v>
      </c>
      <c r="H39" s="93">
        <f>G39*'[1]Data Entry'!$G$233</f>
        <v>246211.71336245918</v>
      </c>
    </row>
    <row r="40" spans="1:8" ht="13.5" customHeight="1" x14ac:dyDescent="0.3">
      <c r="A40" s="171" t="s">
        <v>33</v>
      </c>
      <c r="B40" s="172"/>
      <c r="C40" s="92">
        <f>'[1]Data Entry'!E219/'[1]Data Entry'!$E$228</f>
        <v>7.3950266495812211E-2</v>
      </c>
      <c r="D40" s="93">
        <f>C40*'[1]Data Entry'!$E$233</f>
        <v>156785.61807095414</v>
      </c>
      <c r="E40" s="92">
        <f>'[1]Data Entry'!F219/'[1]Data Entry'!$F$228</f>
        <v>0.13348132419650613</v>
      </c>
      <c r="F40" s="93">
        <f>E40*'[1]Data Entry'!$F$233</f>
        <v>283000.35830518289</v>
      </c>
      <c r="G40" s="94">
        <f>'[1]Data Entry'!G219/'[1]Data Entry'!$G$228</f>
        <v>0.10552456016058566</v>
      </c>
      <c r="H40" s="93">
        <f>G40*'[1]Data Entry'!$G$233</f>
        <v>447455.67988940055</v>
      </c>
    </row>
    <row r="41" spans="1:8" ht="13.5" customHeight="1" x14ac:dyDescent="0.3">
      <c r="A41" s="171" t="s">
        <v>34</v>
      </c>
      <c r="B41" s="172"/>
      <c r="C41" s="92">
        <f>'[1]Data Entry'!E220/'[1]Data Entry'!$E$228</f>
        <v>0.2468846918119858</v>
      </c>
      <c r="D41" s="93">
        <f>C41*'[1]Data Entry'!$E$233</f>
        <v>523432.44767334609</v>
      </c>
      <c r="E41" s="92">
        <f>'[1]Data Entry'!F220/'[1]Data Entry'!$F$228</f>
        <v>0.22661905221503717</v>
      </c>
      <c r="F41" s="93">
        <f>E41*'[1]Data Entry'!$F$233</f>
        <v>480466.26269021659</v>
      </c>
      <c r="G41" s="94">
        <f>'[1]Data Entry'!G220/'[1]Data Entry'!$G$228</f>
        <v>0.26008088322115952</v>
      </c>
      <c r="H41" s="93">
        <f>G41*'[1]Data Entry'!$G$233</f>
        <v>1102820.6917030739</v>
      </c>
    </row>
    <row r="42" spans="1:8" ht="13.5" customHeight="1" x14ac:dyDescent="0.3">
      <c r="A42" s="171" t="s">
        <v>35</v>
      </c>
      <c r="B42" s="172"/>
      <c r="C42" s="92">
        <f>'[1]Data Entry'!E221/'[1]Data Entry'!$E$228</f>
        <v>0.11835385443943024</v>
      </c>
      <c r="D42" s="93">
        <f>C42*'[1]Data Entry'!$E$233</f>
        <v>250927.86136770234</v>
      </c>
      <c r="E42" s="92">
        <f>'[1]Data Entry'!F221/'[1]Data Entry'!$F$228</f>
        <v>0.10462310587781103</v>
      </c>
      <c r="F42" s="93">
        <f>E42*'[1]Data Entry'!$F$233</f>
        <v>221816.62212785127</v>
      </c>
      <c r="G42" s="94">
        <f>'[1]Data Entry'!G221/'[1]Data Entry'!$G$228</f>
        <v>0.11764228362262369</v>
      </c>
      <c r="H42" s="93">
        <f>G42*'[1]Data Entry'!$G$233</f>
        <v>498838.44975990872</v>
      </c>
    </row>
    <row r="43" spans="1:8" ht="13.5" customHeight="1" x14ac:dyDescent="0.3">
      <c r="A43" s="171" t="s">
        <v>36</v>
      </c>
      <c r="B43" s="172"/>
      <c r="C43" s="92">
        <f>'[1]Data Entry'!E222/'[1]Data Entry'!$E$228</f>
        <v>8.2808698720448673E-2</v>
      </c>
      <c r="D43" s="93">
        <f>C43*'[1]Data Entry'!$E$233</f>
        <v>175566.81842751996</v>
      </c>
      <c r="E43" s="92">
        <f>'[1]Data Entry'!F222/'[1]Data Entry'!$F$228</f>
        <v>5.2118521378245346E-2</v>
      </c>
      <c r="F43" s="93">
        <f>E43*'[1]Data Entry'!$F$233</f>
        <v>110499.05530354215</v>
      </c>
      <c r="G43" s="94">
        <f>'[1]Data Entry'!G222/'[1]Data Entry'!$G$228</f>
        <v>6.8248907781320103E-2</v>
      </c>
      <c r="H43" s="93">
        <f>G43*'[1]Data Entry'!$G$233</f>
        <v>289395.77086629666</v>
      </c>
    </row>
    <row r="44" spans="1:8" ht="13.5" customHeight="1" x14ac:dyDescent="0.3">
      <c r="A44" s="171" t="s">
        <v>37</v>
      </c>
      <c r="B44" s="172"/>
      <c r="C44" s="92">
        <f>'[1]Data Entry'!E223/'[1]Data Entry'!$E$228</f>
        <v>5.6734822738499821E-2</v>
      </c>
      <c r="D44" s="93">
        <f>C44*'[1]Data Entry'!$E$233</f>
        <v>120286.30417045827</v>
      </c>
      <c r="E44" s="92">
        <f>'[1]Data Entry'!F223/'[1]Data Entry'!$F$228</f>
        <v>2.1523019013608726E-2</v>
      </c>
      <c r="F44" s="93">
        <f>E44*'[1]Data Entry'!$F$233</f>
        <v>45632.017282759072</v>
      </c>
      <c r="G44" s="94">
        <f>'[1]Data Entry'!G223/'[1]Data Entry'!$G$228</f>
        <v>6.0249143936710353E-2</v>
      </c>
      <c r="H44" s="93">
        <f>G44*'[1]Data Entry'!$G$233</f>
        <v>255474.38076907941</v>
      </c>
    </row>
    <row r="45" spans="1:8" ht="13.5" customHeight="1" x14ac:dyDescent="0.3">
      <c r="A45" s="171" t="s">
        <v>38</v>
      </c>
      <c r="B45" s="172"/>
      <c r="C45" s="92">
        <f>'[1]Data Entry'!E224/'[1]Data Entry'!$E$228</f>
        <v>4.4700726131446503E-2</v>
      </c>
      <c r="D45" s="93">
        <f>C45*'[1]Data Entry'!$E$233</f>
        <v>94772.220667199043</v>
      </c>
      <c r="E45" s="92">
        <f>'[1]Data Entry'!F224/'[1]Data Entry'!$F$228</f>
        <v>7.8370813628028183E-2</v>
      </c>
      <c r="F45" s="93">
        <f>E45*'[1]Data Entry'!$F$233</f>
        <v>166157.83871569668</v>
      </c>
      <c r="G45" s="94">
        <f>'[1]Data Entry'!G224/'[1]Data Entry'!$G$228</f>
        <v>7.3717381036722165E-2</v>
      </c>
      <c r="H45" s="93">
        <f>G45*'[1]Data Entry'!$G$233</f>
        <v>312583.73217813991</v>
      </c>
    </row>
    <row r="46" spans="1:8" ht="13.5" customHeight="1" x14ac:dyDescent="0.3">
      <c r="A46" s="171" t="s">
        <v>39</v>
      </c>
      <c r="B46" s="172"/>
      <c r="C46" s="92">
        <f>'[1]Data Entry'!E225/'[1]Data Entry'!$E$228</f>
        <v>3.9853659442494478E-2</v>
      </c>
      <c r="D46" s="93">
        <f>C46*'[1]Data Entry'!$E$233</f>
        <v>84495.714811719634</v>
      </c>
      <c r="E46" s="92">
        <f>'[1]Data Entry'!F225/'[1]Data Entry'!$F$228</f>
        <v>1.1002798957629572E-2</v>
      </c>
      <c r="F46" s="93">
        <f>E46*'[1]Data Entry'!$F$233</f>
        <v>23327.578341858894</v>
      </c>
      <c r="G46" s="94">
        <f>'[1]Data Entry'!G225/'[1]Data Entry'!$G$228</f>
        <v>2.3807415279253751E-2</v>
      </c>
      <c r="H46" s="93">
        <f>G46*'[1]Data Entry'!$G$233</f>
        <v>100950.55761404338</v>
      </c>
    </row>
    <row r="47" spans="1:8" ht="13.5" customHeight="1" x14ac:dyDescent="0.3">
      <c r="A47" s="171" t="s">
        <v>40</v>
      </c>
      <c r="B47" s="172"/>
      <c r="C47" s="92">
        <f>'[1]Data Entry'!E226/'[1]Data Entry'!$E$228</f>
        <v>4.5183575686667782E-2</v>
      </c>
      <c r="D47" s="93">
        <f>C47*'[1]Data Entry'!$E$233</f>
        <v>95795.933894181668</v>
      </c>
      <c r="E47" s="92">
        <f>'[1]Data Entry'!F226/'[1]Data Entry'!$F$228</f>
        <v>0.12016214651095454</v>
      </c>
      <c r="F47" s="93">
        <f>E47*'[1]Data Entry'!$F$233</f>
        <v>254761.71083872215</v>
      </c>
      <c r="G47" s="94">
        <f>'[1]Data Entry'!G226/'[1]Data Entry'!$G$228</f>
        <v>3.8581886881568071E-2</v>
      </c>
      <c r="H47" s="93">
        <f>G47*'[1]Data Entry'!$G$233</f>
        <v>163598.73378990043</v>
      </c>
    </row>
    <row r="48" spans="1:8" ht="13.5" customHeight="1" thickBot="1" x14ac:dyDescent="0.35">
      <c r="A48" s="173" t="s">
        <v>41</v>
      </c>
      <c r="B48" s="174"/>
      <c r="C48" s="97">
        <f>'[1]Data Entry'!E227/'[1]Data Entry'!$E$228</f>
        <v>7.1814585770795025E-2</v>
      </c>
      <c r="D48" s="96">
        <f>C48*'[1]Data Entry'!$E$233</f>
        <v>152257.65572083867</v>
      </c>
      <c r="E48" s="97">
        <f>'[1]Data Entry'!F227/'[1]Data Entry'!$F$228</f>
        <v>3.7255091207412411E-2</v>
      </c>
      <c r="F48" s="96">
        <f>E48*'[1]Data Entry'!$F$233</f>
        <v>78986.361754013444</v>
      </c>
      <c r="G48" s="104">
        <f>'[1]Data Entry'!G227/'[1]Data Entry'!$G$228</f>
        <v>8.0639685913330969E-2</v>
      </c>
      <c r="H48" s="105">
        <f>G48*'[1]Data Entry'!$G$233</f>
        <v>341936.37416263233</v>
      </c>
    </row>
    <row r="49" spans="1:8" ht="13.5" customHeight="1" thickBot="1" x14ac:dyDescent="0.35">
      <c r="A49" s="169" t="s">
        <v>42</v>
      </c>
      <c r="B49" s="170"/>
      <c r="C49" s="100">
        <f t="shared" ref="C49:H49" si="4">SUM(C37:C48)</f>
        <v>1</v>
      </c>
      <c r="D49" s="106">
        <f t="shared" si="4"/>
        <v>2120149.4666666668</v>
      </c>
      <c r="E49" s="100">
        <f t="shared" si="4"/>
        <v>1</v>
      </c>
      <c r="F49" s="106">
        <f t="shared" si="4"/>
        <v>2120149.4666666668</v>
      </c>
      <c r="G49" s="102">
        <f t="shared" si="4"/>
        <v>1</v>
      </c>
      <c r="H49" s="106">
        <f t="shared" si="4"/>
        <v>4240298.9333333336</v>
      </c>
    </row>
  </sheetData>
  <mergeCells count="49">
    <mergeCell ref="A12:B12"/>
    <mergeCell ref="B1:C1"/>
    <mergeCell ref="F1:G1"/>
    <mergeCell ref="C3:D3"/>
    <mergeCell ref="F3:H3"/>
    <mergeCell ref="A5:B5"/>
    <mergeCell ref="A6:B6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E19:F19"/>
    <mergeCell ref="G19:H19"/>
    <mergeCell ref="A21:B21"/>
    <mergeCell ref="A22:B22"/>
    <mergeCell ref="A23:B23"/>
    <mergeCell ref="C19:D19"/>
    <mergeCell ref="E35:F35"/>
    <mergeCell ref="G35:H35"/>
    <mergeCell ref="A25:B25"/>
    <mergeCell ref="A26:B26"/>
    <mergeCell ref="A27:B27"/>
    <mergeCell ref="A28:B28"/>
    <mergeCell ref="A29:B29"/>
    <mergeCell ref="A30:B30"/>
    <mergeCell ref="A42:B42"/>
    <mergeCell ref="A31:B31"/>
    <mergeCell ref="A32:B32"/>
    <mergeCell ref="A33:B33"/>
    <mergeCell ref="C35:D35"/>
    <mergeCell ref="A37:B37"/>
    <mergeCell ref="A38:B38"/>
    <mergeCell ref="A39:B39"/>
    <mergeCell ref="A40:B40"/>
    <mergeCell ref="A41:B41"/>
    <mergeCell ref="A49:B49"/>
    <mergeCell ref="A43:B43"/>
    <mergeCell ref="A44:B44"/>
    <mergeCell ref="A45:B45"/>
    <mergeCell ref="A46:B46"/>
    <mergeCell ref="A47:B47"/>
    <mergeCell ref="A48:B48"/>
  </mergeCells>
  <pageMargins left="0.2" right="0.2" top="0.75" bottom="0.25" header="0.3" footer="0"/>
  <pageSetup orientation="portrait" horizontalDpi="300" verticalDpi="300" r:id="rId1"/>
  <headerFooter>
    <oddHeader>&amp;C&amp;"-,Bold"&amp;12
WIA Dislocated Worker Allocation by WDA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/>
  </sheetPr>
  <dimension ref="A1:I49"/>
  <sheetViews>
    <sheetView view="pageLayout" topLeftCell="A7" zoomScaleNormal="100" workbookViewId="0">
      <selection activeCell="F38" sqref="F38"/>
    </sheetView>
  </sheetViews>
  <sheetFormatPr defaultRowHeight="14.4" x14ac:dyDescent="0.3"/>
  <cols>
    <col min="1" max="1" width="12" customWidth="1"/>
    <col min="2" max="2" width="7" customWidth="1"/>
    <col min="3" max="3" width="11.109375" customWidth="1"/>
    <col min="4" max="4" width="14.88671875" customWidth="1"/>
    <col min="5" max="5" width="11.109375" customWidth="1"/>
    <col min="6" max="6" width="14.44140625" customWidth="1"/>
    <col min="7" max="7" width="11.109375" customWidth="1"/>
    <col min="8" max="8" width="14.44140625" customWidth="1"/>
    <col min="9" max="9" width="7.88671875" customWidth="1"/>
    <col min="10" max="10" width="11.6640625" customWidth="1"/>
    <col min="11" max="11" width="7.88671875" customWidth="1"/>
    <col min="12" max="12" width="11.6640625" customWidth="1"/>
    <col min="13" max="13" width="7.88671875" customWidth="1"/>
    <col min="14" max="14" width="9.6640625" customWidth="1"/>
  </cols>
  <sheetData>
    <row r="1" spans="1:9" x14ac:dyDescent="0.3">
      <c r="A1" s="167" t="s">
        <v>0</v>
      </c>
      <c r="B1" s="167"/>
      <c r="C1" s="1" t="str">
        <f>'[1]Data Entry'!B1</f>
        <v>PY 2012</v>
      </c>
      <c r="D1" s="49" t="s">
        <v>24</v>
      </c>
      <c r="E1" s="51">
        <f>'[1]Data Entry'!D212</f>
        <v>13564394</v>
      </c>
      <c r="F1" s="190" t="s">
        <v>25</v>
      </c>
      <c r="G1" s="190"/>
      <c r="H1" s="190">
        <f>'[1]Data Entry'!H232</f>
        <v>7.5</v>
      </c>
      <c r="I1" s="190"/>
    </row>
    <row r="2" spans="1:9" ht="8.25" customHeight="1" thickBot="1" x14ac:dyDescent="0.35"/>
    <row r="3" spans="1:9" ht="16.2" thickTop="1" x14ac:dyDescent="0.3">
      <c r="A3" s="53"/>
      <c r="B3" s="54"/>
      <c r="C3" s="192" t="s">
        <v>26</v>
      </c>
      <c r="D3" s="193"/>
      <c r="F3" s="194" t="s">
        <v>49</v>
      </c>
      <c r="G3" s="195"/>
      <c r="H3" s="196"/>
    </row>
    <row r="4" spans="1:9" ht="15" thickBot="1" x14ac:dyDescent="0.35">
      <c r="A4" s="55"/>
      <c r="B4" s="56"/>
      <c r="C4" s="57" t="s">
        <v>28</v>
      </c>
      <c r="D4" s="58" t="s">
        <v>29</v>
      </c>
      <c r="F4" s="59">
        <v>1165455</v>
      </c>
      <c r="G4" s="60" t="s">
        <v>28</v>
      </c>
      <c r="H4" s="61" t="s">
        <v>29</v>
      </c>
    </row>
    <row r="5" spans="1:9" x14ac:dyDescent="0.3">
      <c r="A5" s="197" t="s">
        <v>30</v>
      </c>
      <c r="B5" s="198"/>
      <c r="C5" s="62">
        <f>D5/$D$17</f>
        <v>4.0928301613406E-2</v>
      </c>
      <c r="D5" s="107">
        <f>SUM(D21,F21,H21,D37,F37,H37,H5)</f>
        <v>602867.70054551179</v>
      </c>
      <c r="F5" s="64" t="s">
        <v>30</v>
      </c>
      <c r="G5" s="65">
        <f>'[1]DW Allocation by WDA - No Mit.'!C5</f>
        <v>4.0928302185557638E-2</v>
      </c>
      <c r="H5" s="66">
        <f>$F$4*G5</f>
        <v>47700.094423669078</v>
      </c>
    </row>
    <row r="6" spans="1:9" x14ac:dyDescent="0.3">
      <c r="A6" s="184" t="s">
        <v>31</v>
      </c>
      <c r="B6" s="185"/>
      <c r="C6" s="67">
        <f t="shared" ref="C6:C16" si="0">D6/$D$17</f>
        <v>8.1449975798672331E-2</v>
      </c>
      <c r="D6" s="72">
        <f>SUM(D22,F22,H22,D38,F38,H38,H6)</f>
        <v>1199745.8404955992</v>
      </c>
      <c r="F6" s="69" t="s">
        <v>31</v>
      </c>
      <c r="G6" s="70">
        <f>'[1]DW Allocation by WDA - No Mit.'!C6</f>
        <v>8.144997693729121E-2</v>
      </c>
      <c r="H6" s="71">
        <f>$F$4*G6</f>
        <v>94926.282871450734</v>
      </c>
    </row>
    <row r="7" spans="1:9" x14ac:dyDescent="0.3">
      <c r="A7" s="184" t="s">
        <v>32</v>
      </c>
      <c r="B7" s="185"/>
      <c r="C7" s="67">
        <f t="shared" si="0"/>
        <v>6.4729210028737022E-2</v>
      </c>
      <c r="D7" s="72">
        <f t="shared" ref="D7:D13" si="1">SUM(D23,F23,H23,D39,F39,H39,H7)</f>
        <v>953451.48637612164</v>
      </c>
      <c r="F7" s="69" t="s">
        <v>32</v>
      </c>
      <c r="G7" s="70">
        <f>'[1]DW Allocation by WDA - No Mit.'!C7</f>
        <v>6.4729210933610226E-2</v>
      </c>
      <c r="H7" s="71">
        <f t="shared" ref="H7:H16" si="2">$F$4*G7</f>
        <v>75438.982528630702</v>
      </c>
    </row>
    <row r="8" spans="1:9" x14ac:dyDescent="0.3">
      <c r="A8" s="184" t="s">
        <v>33</v>
      </c>
      <c r="B8" s="185"/>
      <c r="C8" s="67">
        <f t="shared" si="0"/>
        <v>0.10823398602935304</v>
      </c>
      <c r="D8" s="72">
        <f t="shared" si="1"/>
        <v>1594270.2654687809</v>
      </c>
      <c r="F8" s="69" t="s">
        <v>33</v>
      </c>
      <c r="G8" s="70">
        <f>'[1]DW Allocation by WDA - No Mit.'!C8</f>
        <v>0.10823398754239535</v>
      </c>
      <c r="H8" s="71">
        <f t="shared" si="2"/>
        <v>126141.84195122238</v>
      </c>
    </row>
    <row r="9" spans="1:9" x14ac:dyDescent="0.3">
      <c r="A9" s="184" t="s">
        <v>34</v>
      </c>
      <c r="B9" s="185"/>
      <c r="C9" s="67">
        <f t="shared" si="0"/>
        <v>0.25111234281090244</v>
      </c>
      <c r="D9" s="72">
        <f t="shared" si="1"/>
        <v>3698846.8790852125</v>
      </c>
      <c r="F9" s="69" t="s">
        <v>34</v>
      </c>
      <c r="G9" s="70">
        <f>'[1]DW Allocation by WDA - No Mit.'!C9</f>
        <v>0.25111234632129337</v>
      </c>
      <c r="H9" s="71">
        <f t="shared" si="2"/>
        <v>292660.13958188298</v>
      </c>
    </row>
    <row r="10" spans="1:9" x14ac:dyDescent="0.3">
      <c r="A10" s="184" t="s">
        <v>35</v>
      </c>
      <c r="B10" s="185"/>
      <c r="C10" s="67">
        <f t="shared" si="0"/>
        <v>0.12217658947748371</v>
      </c>
      <c r="D10" s="72">
        <f t="shared" si="1"/>
        <v>1799642.7082294947</v>
      </c>
      <c r="F10" s="69" t="s">
        <v>35</v>
      </c>
      <c r="G10" s="70">
        <f>'[1]DW Allocation by WDA - No Mit.'!C10</f>
        <v>0.12217659118543475</v>
      </c>
      <c r="H10" s="71">
        <f t="shared" si="2"/>
        <v>142391.31908002085</v>
      </c>
    </row>
    <row r="11" spans="1:9" x14ac:dyDescent="0.3">
      <c r="A11" s="184" t="s">
        <v>36</v>
      </c>
      <c r="B11" s="185"/>
      <c r="C11" s="67">
        <f t="shared" si="0"/>
        <v>7.8505328547271755E-2</v>
      </c>
      <c r="D11" s="72">
        <f>SUM(D27,F27,H27,D43,F43,H43,H11)</f>
        <v>1156371.6312714361</v>
      </c>
      <c r="F11" s="69" t="s">
        <v>36</v>
      </c>
      <c r="G11" s="70">
        <f>'[1]DW Allocation by WDA - No Mit.'!C11</f>
        <v>7.8505329644726354E-2</v>
      </c>
      <c r="H11" s="71">
        <f t="shared" si="2"/>
        <v>91494.428961094556</v>
      </c>
    </row>
    <row r="12" spans="1:9" x14ac:dyDescent="0.3">
      <c r="A12" s="184" t="s">
        <v>37</v>
      </c>
      <c r="B12" s="185"/>
      <c r="C12" s="67">
        <f t="shared" si="0"/>
        <v>4.717420072179386E-2</v>
      </c>
      <c r="D12" s="72">
        <f>SUM(D28,F28,H28,D44,F44,H44,H12)</f>
        <v>694868.85096900468</v>
      </c>
      <c r="F12" s="69" t="s">
        <v>37</v>
      </c>
      <c r="G12" s="70">
        <f>'[1]DW Allocation by WDA - No Mit.'!C12</f>
        <v>4.7174189798704441E-2</v>
      </c>
      <c r="H12" s="71">
        <f t="shared" si="2"/>
        <v>54979.395371849081</v>
      </c>
    </row>
    <row r="13" spans="1:9" x14ac:dyDescent="0.3">
      <c r="A13" s="184" t="s">
        <v>38</v>
      </c>
      <c r="B13" s="185"/>
      <c r="C13" s="67">
        <f t="shared" si="0"/>
        <v>6.3931817971300181E-2</v>
      </c>
      <c r="D13" s="72">
        <f t="shared" si="1"/>
        <v>941706.02181614726</v>
      </c>
      <c r="F13" s="69" t="s">
        <v>38</v>
      </c>
      <c r="G13" s="70">
        <f>'[1]DW Allocation by WDA - No Mit.'!C13</f>
        <v>6.3931813073748983E-2</v>
      </c>
      <c r="H13" s="71">
        <f t="shared" si="2"/>
        <v>74509.651205866117</v>
      </c>
    </row>
    <row r="14" spans="1:9" x14ac:dyDescent="0.3">
      <c r="A14" s="184" t="s">
        <v>39</v>
      </c>
      <c r="B14" s="185"/>
      <c r="C14" s="67">
        <f t="shared" si="0"/>
        <v>2.3900697903942534E-2</v>
      </c>
      <c r="D14" s="72">
        <f>SUM(D30,F30,H30,D46,F46,H46,H14)</f>
        <v>352053.66992465523</v>
      </c>
      <c r="F14" s="69" t="s">
        <v>39</v>
      </c>
      <c r="G14" s="70">
        <f>'[1]DW Allocation by WDA - No Mit.'!C14</f>
        <v>2.3900698238059102E-2</v>
      </c>
      <c r="H14" s="71">
        <f t="shared" si="2"/>
        <v>27855.18826503717</v>
      </c>
    </row>
    <row r="15" spans="1:9" x14ac:dyDescent="0.3">
      <c r="A15" s="184" t="s">
        <v>40</v>
      </c>
      <c r="B15" s="185"/>
      <c r="C15" s="67">
        <f t="shared" si="0"/>
        <v>4.869061602166503E-2</v>
      </c>
      <c r="D15" s="72">
        <f>SUM(D31,F31,H31,D47,F47,H47,H15)</f>
        <v>717205.41928157595</v>
      </c>
      <c r="F15" s="69" t="s">
        <v>40</v>
      </c>
      <c r="G15" s="70">
        <f>'[1]DW Allocation by WDA - No Mit.'!C15</f>
        <v>4.8690616702328889E-2</v>
      </c>
      <c r="H15" s="71">
        <f t="shared" si="2"/>
        <v>56746.722688812712</v>
      </c>
    </row>
    <row r="16" spans="1:9" ht="15" thickBot="1" x14ac:dyDescent="0.35">
      <c r="A16" s="186" t="s">
        <v>41</v>
      </c>
      <c r="B16" s="187"/>
      <c r="C16" s="73">
        <f t="shared" si="0"/>
        <v>6.9166933075471934E-2</v>
      </c>
      <c r="D16" s="108">
        <f>SUM(D32,F32,H32,D48,F48,H48,H16)-0.05</f>
        <v>1018818.4765364608</v>
      </c>
      <c r="F16" s="69" t="s">
        <v>41</v>
      </c>
      <c r="G16" s="75">
        <f>'[1]DW Allocation by WDA - No Mit.'!C16</f>
        <v>6.9166937436849679E-2</v>
      </c>
      <c r="H16" s="76">
        <f t="shared" si="2"/>
        <v>80610.953070463642</v>
      </c>
    </row>
    <row r="17" spans="1:8" ht="15" thickBot="1" x14ac:dyDescent="0.35">
      <c r="A17" s="188" t="s">
        <v>42</v>
      </c>
      <c r="B17" s="189"/>
      <c r="C17" s="77">
        <f>SUM(C5:C16)</f>
        <v>0.99999999999999989</v>
      </c>
      <c r="D17" s="78">
        <f>SUM(D5:D16)</f>
        <v>14729848.950000003</v>
      </c>
      <c r="F17" s="79" t="s">
        <v>42</v>
      </c>
      <c r="G17" s="80">
        <f>'[1]DW Allocation by WDA - No Mit.'!C17</f>
        <v>0.99999999999999989</v>
      </c>
      <c r="H17" s="81">
        <f>SUM(H5:H16)</f>
        <v>1165455</v>
      </c>
    </row>
    <row r="18" spans="1:8" ht="15.6" thickTop="1" thickBot="1" x14ac:dyDescent="0.35"/>
    <row r="19" spans="1:8" ht="27" customHeight="1" x14ac:dyDescent="0.3">
      <c r="A19" s="82"/>
      <c r="B19" s="83"/>
      <c r="C19" s="175" t="s">
        <v>43</v>
      </c>
      <c r="D19" s="176"/>
      <c r="E19" s="182" t="s">
        <v>44</v>
      </c>
      <c r="F19" s="183"/>
      <c r="G19" s="175" t="s">
        <v>45</v>
      </c>
      <c r="H19" s="176"/>
    </row>
    <row r="20" spans="1:8" ht="15" thickBot="1" x14ac:dyDescent="0.35">
      <c r="A20" s="84"/>
      <c r="B20" s="85"/>
      <c r="C20" s="86" t="s">
        <v>28</v>
      </c>
      <c r="D20" s="61" t="s">
        <v>29</v>
      </c>
      <c r="E20" s="86" t="s">
        <v>28</v>
      </c>
      <c r="F20" s="61" t="s">
        <v>29</v>
      </c>
      <c r="G20" s="86" t="s">
        <v>28</v>
      </c>
      <c r="H20" s="61" t="s">
        <v>29</v>
      </c>
    </row>
    <row r="21" spans="1:8" ht="13.5" customHeight="1" x14ac:dyDescent="0.3">
      <c r="A21" s="177" t="s">
        <v>30</v>
      </c>
      <c r="B21" s="178"/>
      <c r="C21" s="87">
        <f>'[1]Data Entry'!B216/'[1]Data Entry'!$B$228</f>
        <v>4.3082443034246388E-2</v>
      </c>
      <c r="D21" s="88">
        <f>C21*'[1]Data Entry'!$B$248</f>
        <v>77918.297573209798</v>
      </c>
      <c r="E21" s="87">
        <f>'[1]Data Entry'!C216/'[1]Data Entry'!$C$228</f>
        <v>4.0454964648017212E-2</v>
      </c>
      <c r="F21" s="88">
        <f>E21*'[1]Data Entry'!$C$248</f>
        <v>109749.41594835537</v>
      </c>
      <c r="G21" s="89">
        <f>'[1]Data Entry'!D216/'[1]Data Entry'!$D$228</f>
        <v>4.558502752570797E-2</v>
      </c>
      <c r="H21" s="90">
        <f>G21*'[1]Data Entry'!$D$248</f>
        <v>82444.436514606408</v>
      </c>
    </row>
    <row r="22" spans="1:8" ht="13.5" customHeight="1" x14ac:dyDescent="0.3">
      <c r="A22" s="171" t="s">
        <v>31</v>
      </c>
      <c r="B22" s="172"/>
      <c r="C22" s="67">
        <f>'[1]Data Entry'!B217/'[1]Data Entry'!$B$228</f>
        <v>7.8863987290366921E-2</v>
      </c>
      <c r="D22" s="91">
        <f>C22*'[1]Data Entry'!$B$248</f>
        <v>142632.29280233724</v>
      </c>
      <c r="E22" s="92">
        <f>'[1]Data Entry'!C217/'[1]Data Entry'!$C$228</f>
        <v>7.7048877958807258E-2</v>
      </c>
      <c r="F22" s="93">
        <f>E22*'[1]Data Entry'!$C$248</f>
        <v>209024.26757823551</v>
      </c>
      <c r="G22" s="94">
        <f>'[1]Data Entry'!D217/'[1]Data Entry'!$D$228</f>
        <v>7.7647991992521315E-2</v>
      </c>
      <c r="H22" s="95">
        <f>G22*'[1]Data Entry'!$D$248</f>
        <v>140433.06089272056</v>
      </c>
    </row>
    <row r="23" spans="1:8" ht="13.5" customHeight="1" x14ac:dyDescent="0.3">
      <c r="A23" s="171" t="s">
        <v>32</v>
      </c>
      <c r="B23" s="172"/>
      <c r="C23" s="67">
        <f>'[1]Data Entry'!B218/'[1]Data Entry'!$B$228</f>
        <v>6.2606545818048753E-2</v>
      </c>
      <c r="D23" s="91">
        <f>C23*'[1]Data Entry'!$B$248</f>
        <v>113229.31392734208</v>
      </c>
      <c r="E23" s="92">
        <f>'[1]Data Entry'!C218/'[1]Data Entry'!$C$228</f>
        <v>5.5007685213648939E-2</v>
      </c>
      <c r="F23" s="93">
        <f>E23*'[1]Data Entry'!$C$248</f>
        <v>149229.18305318168</v>
      </c>
      <c r="G23" s="94">
        <f>'[1]Data Entry'!D218/'[1]Data Entry'!$D$228</f>
        <v>5.9177911445595414E-2</v>
      </c>
      <c r="H23" s="95">
        <f>G23*'[1]Data Entry'!$D$248</f>
        <v>107028.33425935544</v>
      </c>
    </row>
    <row r="24" spans="1:8" ht="13.5" customHeight="1" x14ac:dyDescent="0.3">
      <c r="A24" s="171" t="s">
        <v>33</v>
      </c>
      <c r="B24" s="172"/>
      <c r="C24" s="67">
        <f>'[1]Data Entry'!B219/'[1]Data Entry'!$B$228</f>
        <v>0.10836658009121661</v>
      </c>
      <c r="D24" s="91">
        <f>C24*'[1]Data Entry'!$B$248</f>
        <v>195990.26517197574</v>
      </c>
      <c r="E24" s="92">
        <f>'[1]Data Entry'!C219/'[1]Data Entry'!$C$228</f>
        <v>0.1130710113741162</v>
      </c>
      <c r="F24" s="93">
        <f>E24*'[1]Data Entry'!$C$248</f>
        <v>306747.94965139875</v>
      </c>
      <c r="G24" s="94">
        <f>'[1]Data Entry'!D219/'[1]Data Entry'!$D$228</f>
        <v>0.11530108308703411</v>
      </c>
      <c r="H24" s="95">
        <f>G24*'[1]Data Entry'!$D$248</f>
        <v>208531.90928256893</v>
      </c>
    </row>
    <row r="25" spans="1:8" ht="13.5" customHeight="1" x14ac:dyDescent="0.3">
      <c r="A25" s="171" t="s">
        <v>34</v>
      </c>
      <c r="B25" s="172"/>
      <c r="C25" s="67">
        <f>'[1]Data Entry'!B220/'[1]Data Entry'!$B$228</f>
        <v>0.24147410323006757</v>
      </c>
      <c r="D25" s="91">
        <f>C25*'[1]Data Entry'!$B$248</f>
        <v>436726.65026790788</v>
      </c>
      <c r="E25" s="92">
        <f>'[1]Data Entry'!C220/'[1]Data Entry'!$C$228</f>
        <v>0.24487549953888718</v>
      </c>
      <c r="F25" s="93">
        <f>E25*'[1]Data Entry'!$C$248</f>
        <v>664317.55133845692</v>
      </c>
      <c r="G25" s="94">
        <f>'[1]Data Entry'!D220/'[1]Data Entry'!$D$228</f>
        <v>0.28088969886969906</v>
      </c>
      <c r="H25" s="95">
        <f>G25*'[1]Data Entry'!$D$248</f>
        <v>508013.13946799369</v>
      </c>
    </row>
    <row r="26" spans="1:8" ht="13.5" customHeight="1" x14ac:dyDescent="0.3">
      <c r="A26" s="171" t="s">
        <v>35</v>
      </c>
      <c r="B26" s="172"/>
      <c r="C26" s="67">
        <f>'[1]Data Entry'!B221/'[1]Data Entry'!$B$228</f>
        <v>0.12918485197383101</v>
      </c>
      <c r="D26" s="91">
        <f>C26*'[1]Data Entry'!$B$248</f>
        <v>233641.89746729619</v>
      </c>
      <c r="E26" s="92">
        <f>'[1]Data Entry'!C221/'[1]Data Entry'!$C$228</f>
        <v>0.12609898555179835</v>
      </c>
      <c r="F26" s="93">
        <f>E26*'[1]Data Entry'!$C$248</f>
        <v>342091.26460498007</v>
      </c>
      <c r="G26" s="94">
        <f>'[1]Data Entry'!D221/'[1]Data Entry'!$D$228</f>
        <v>0.13972955873882212</v>
      </c>
      <c r="H26" s="95">
        <f>G26*'[1]Data Entry'!$D$248</f>
        <v>252712.90509060351</v>
      </c>
    </row>
    <row r="27" spans="1:8" ht="13.5" customHeight="1" x14ac:dyDescent="0.3">
      <c r="A27" s="171" t="s">
        <v>36</v>
      </c>
      <c r="B27" s="172"/>
      <c r="C27" s="67">
        <f>'[1]Data Entry'!B222/'[1]Data Entry'!$B$228</f>
        <v>6.3891789612731051E-2</v>
      </c>
      <c r="D27" s="91">
        <f>C27*'[1]Data Entry'!$B$248</f>
        <v>115553.78768962552</v>
      </c>
      <c r="E27" s="92">
        <f>'[1]Data Entry'!C222/'[1]Data Entry'!$C$228</f>
        <v>0.12542883492161083</v>
      </c>
      <c r="F27" s="93">
        <f>E27*'[1]Data Entry'!$C$248</f>
        <v>340273.22716753773</v>
      </c>
      <c r="G27" s="94">
        <f>'[1]Data Entry'!D222/'[1]Data Entry'!$D$228</f>
        <v>6.5329883570504524E-2</v>
      </c>
      <c r="H27" s="95">
        <f>G27*'[1]Data Entry'!$D$248</f>
        <v>118154.70409659336</v>
      </c>
    </row>
    <row r="28" spans="1:8" ht="13.5" customHeight="1" x14ac:dyDescent="0.3">
      <c r="A28" s="171" t="s">
        <v>37</v>
      </c>
      <c r="B28" s="172"/>
      <c r="C28" s="67">
        <f>'[1]Data Entry'!B223/'[1]Data Entry'!$B$228</f>
        <v>5.6059835238885768E-2</v>
      </c>
      <c r="D28" s="91">
        <f>C28*'[1]Data Entry'!$B$248</f>
        <v>101389.02570071076</v>
      </c>
      <c r="E28" s="92">
        <f>'[1]Data Entry'!C223/'[1]Data Entry'!$C$228</f>
        <v>3.8647402397786655E-2</v>
      </c>
      <c r="F28" s="93">
        <f>E28*'[1]Data Entry'!$C$248</f>
        <v>104845.7186400246</v>
      </c>
      <c r="G28" s="94">
        <f>'[1]Data Entry'!D223/'[1]Data Entry'!$D$228</f>
        <v>4.1019442687037895E-2</v>
      </c>
      <c r="H28" s="95">
        <f>G28*'[1]Data Entry'!$D$248</f>
        <v>74187.184302320093</v>
      </c>
    </row>
    <row r="29" spans="1:8" ht="13.5" customHeight="1" x14ac:dyDescent="0.3">
      <c r="A29" s="171" t="s">
        <v>38</v>
      </c>
      <c r="B29" s="172"/>
      <c r="C29" s="67">
        <f>'[1]Data Entry'!B224/'[1]Data Entry'!$B$228</f>
        <v>7.3477566248069906E-2</v>
      </c>
      <c r="D29" s="91">
        <f>C29*'[1]Data Entry'!$B$248</f>
        <v>132890.48783332293</v>
      </c>
      <c r="E29" s="92">
        <f>'[1]Data Entry'!C224/'[1]Data Entry'!$C$228</f>
        <v>5.4866277282508452E-2</v>
      </c>
      <c r="F29" s="93">
        <f>E29*'[1]Data Entry'!$C$248</f>
        <v>148845.5604746388</v>
      </c>
      <c r="G29" s="94">
        <f>'[1]Data Entry'!D224/'[1]Data Entry'!$D$228</f>
        <v>5.3205352168534767E-2</v>
      </c>
      <c r="H29" s="95">
        <f>G29*'[1]Data Entry'!$D$248</f>
        <v>96226.447963034661</v>
      </c>
    </row>
    <row r="30" spans="1:8" ht="13.5" customHeight="1" x14ac:dyDescent="0.3">
      <c r="A30" s="171" t="s">
        <v>39</v>
      </c>
      <c r="B30" s="172"/>
      <c r="C30" s="67">
        <f>'[1]Data Entry'!B225/'[1]Data Entry'!$B$228</f>
        <v>2.2264171151631991E-2</v>
      </c>
      <c r="D30" s="91">
        <f>C30*'[1]Data Entry'!$B$248</f>
        <v>40266.66527788934</v>
      </c>
      <c r="E30" s="92">
        <f>'[1]Data Entry'!C225/'[1]Data Entry'!$C$228</f>
        <v>2.6246541653857976E-2</v>
      </c>
      <c r="F30" s="93">
        <f>E30*'[1]Data Entry'!$C$248</f>
        <v>71203.686426068249</v>
      </c>
      <c r="G30" s="94">
        <f>'[1]Data Entry'!D225/'[1]Data Entry'!$D$228</f>
        <v>1.9149960812456918E-2</v>
      </c>
      <c r="H30" s="95">
        <f>G30*'[1]Data Entry'!$D$248</f>
        <v>34634.348472630103</v>
      </c>
    </row>
    <row r="31" spans="1:8" ht="13.5" customHeight="1" x14ac:dyDescent="0.3">
      <c r="A31" s="171" t="s">
        <v>40</v>
      </c>
      <c r="B31" s="172"/>
      <c r="C31" s="67">
        <f>'[1]Data Entry'!B226/'[1]Data Entry'!$B$228</f>
        <v>4.92498281878955E-2</v>
      </c>
      <c r="D31" s="91">
        <f>C31*'[1]Data Entry'!$B$248</f>
        <v>89072.543196389408</v>
      </c>
      <c r="E31" s="92">
        <f>'[1]Data Entry'!C226/'[1]Data Entry'!$C$228</f>
        <v>2.8226252689824777E-2</v>
      </c>
      <c r="F31" s="93">
        <f>E31*'[1]Data Entry'!$C$248</f>
        <v>76574.402525668629</v>
      </c>
      <c r="G31" s="94">
        <f>'[1]Data Entry'!D226/'[1]Data Entry'!$D$228</f>
        <v>3.1080915194379655E-2</v>
      </c>
      <c r="H31" s="95">
        <f>G31*'[1]Data Entry'!$D$248</f>
        <v>56212.503943620301</v>
      </c>
    </row>
    <row r="32" spans="1:8" ht="13.5" customHeight="1" thickBot="1" x14ac:dyDescent="0.35">
      <c r="A32" s="173" t="s">
        <v>41</v>
      </c>
      <c r="B32" s="174"/>
      <c r="C32" s="73">
        <f>'[1]Data Entry'!B227/'[1]Data Entry'!$B$228</f>
        <v>7.1478298123008543E-2</v>
      </c>
      <c r="D32" s="91">
        <f>C32*'[1]Data Entry'!$B$248</f>
        <v>129274.63975865979</v>
      </c>
      <c r="E32" s="97">
        <f>'[1]Data Entry'!C227/'[1]Data Entry'!$C$228</f>
        <v>7.0027666769136188E-2</v>
      </c>
      <c r="F32" s="93">
        <f>E32*'[1]Data Entry'!$C$248</f>
        <v>189976.57259145408</v>
      </c>
      <c r="G32" s="98">
        <f>'[1]Data Entry'!D227/'[1]Data Entry'!$D$228</f>
        <v>7.1883173907706252E-2</v>
      </c>
      <c r="H32" s="95">
        <f>G32*'[1]Data Entry'!$D$248</f>
        <v>130006.89238061964</v>
      </c>
    </row>
    <row r="33" spans="1:8" ht="13.5" customHeight="1" thickBot="1" x14ac:dyDescent="0.35">
      <c r="A33" s="169" t="s">
        <v>42</v>
      </c>
      <c r="B33" s="170"/>
      <c r="C33" s="100">
        <f t="shared" ref="C33:H33" si="3">SUM(C21:C32)</f>
        <v>1</v>
      </c>
      <c r="D33" s="101">
        <f t="shared" si="3"/>
        <v>1808585.8666666665</v>
      </c>
      <c r="E33" s="100">
        <f t="shared" si="3"/>
        <v>1</v>
      </c>
      <c r="F33" s="101">
        <f t="shared" si="3"/>
        <v>2712878.8000000007</v>
      </c>
      <c r="G33" s="102">
        <f t="shared" si="3"/>
        <v>0.99999999999999989</v>
      </c>
      <c r="H33" s="101">
        <f t="shared" si="3"/>
        <v>1808585.8666666667</v>
      </c>
    </row>
    <row r="34" spans="1:8" ht="13.5" customHeight="1" thickBot="1" x14ac:dyDescent="0.35"/>
    <row r="35" spans="1:8" ht="27" customHeight="1" x14ac:dyDescent="0.3">
      <c r="A35" s="82"/>
      <c r="B35" s="83"/>
      <c r="C35" s="175" t="s">
        <v>46</v>
      </c>
      <c r="D35" s="176"/>
      <c r="E35" s="179" t="s">
        <v>47</v>
      </c>
      <c r="F35" s="180"/>
      <c r="G35" s="181" t="s">
        <v>48</v>
      </c>
      <c r="H35" s="176"/>
    </row>
    <row r="36" spans="1:8" ht="14.25" customHeight="1" thickBot="1" x14ac:dyDescent="0.35">
      <c r="A36" s="84"/>
      <c r="B36" s="85"/>
      <c r="C36" s="86" t="s">
        <v>28</v>
      </c>
      <c r="D36" s="61" t="s">
        <v>29</v>
      </c>
      <c r="E36" s="86" t="s">
        <v>28</v>
      </c>
      <c r="F36" s="61" t="s">
        <v>29</v>
      </c>
      <c r="G36" s="103" t="s">
        <v>28</v>
      </c>
      <c r="H36" s="61" t="s">
        <v>29</v>
      </c>
    </row>
    <row r="37" spans="1:8" ht="13.5" customHeight="1" x14ac:dyDescent="0.3">
      <c r="A37" s="177" t="s">
        <v>30</v>
      </c>
      <c r="B37" s="178"/>
      <c r="C37" s="87">
        <f>'[1]Data Entry'!E216/'[1]Data Entry'!$E$228</f>
        <v>5.3856296543911455E-2</v>
      </c>
      <c r="D37" s="90">
        <f>C37*'[1]Data Entry'!$E$248</f>
        <v>97403.736760327112</v>
      </c>
      <c r="E37" s="87">
        <f>'[1]Data Entry'!F216/'[1]Data Entry'!$F$228</f>
        <v>2.0171798088987551E-2</v>
      </c>
      <c r="F37" s="90">
        <f>E37*'[1]Data Entry'!$F$248</f>
        <v>36482.42892899656</v>
      </c>
      <c r="G37" s="89">
        <f>'[1]Data Entry'!G216/'[1]Data Entry'!$G$228</f>
        <v>4.1792124217735267E-2</v>
      </c>
      <c r="H37" s="90">
        <f>G37*'[1]Data Entry'!$G$248</f>
        <v>151169.29039634747</v>
      </c>
    </row>
    <row r="38" spans="1:8" ht="13.5" customHeight="1" x14ac:dyDescent="0.3">
      <c r="A38" s="171" t="s">
        <v>31</v>
      </c>
      <c r="B38" s="172"/>
      <c r="C38" s="92">
        <f>'[1]Data Entry'!E217/'[1]Data Entry'!$E$228</f>
        <v>8.999572863854996E-2</v>
      </c>
      <c r="D38" s="93">
        <f>C38*'[1]Data Entry'!$E$248</f>
        <v>162765.00287605004</v>
      </c>
      <c r="E38" s="92">
        <f>'[1]Data Entry'!F217/'[1]Data Entry'!$F$228</f>
        <v>0.10549174790078178</v>
      </c>
      <c r="F38" s="93">
        <f>E38*'[1]Data Entry'!$F$248</f>
        <v>190790.88430331694</v>
      </c>
      <c r="G38" s="94">
        <f>'[1]Data Entry'!G217/'[1]Data Entry'!$G$228</f>
        <v>7.165102137206282E-2</v>
      </c>
      <c r="H38" s="93">
        <f>G38*'[1]Data Entry'!$G$248</f>
        <v>259174.04917148818</v>
      </c>
    </row>
    <row r="39" spans="1:8" ht="13.5" customHeight="1" x14ac:dyDescent="0.3">
      <c r="A39" s="171" t="s">
        <v>32</v>
      </c>
      <c r="B39" s="172"/>
      <c r="C39" s="92">
        <f>'[1]Data Entry'!E218/'[1]Data Entry'!$E$228</f>
        <v>7.5863093579958032E-2</v>
      </c>
      <c r="D39" s="93">
        <f>C39*'[1]Data Entry'!$E$248</f>
        <v>137204.91885032284</v>
      </c>
      <c r="E39" s="92">
        <f>'[1]Data Entry'!F218/'[1]Data Entry'!$F$228</f>
        <v>8.9180581024997582E-2</v>
      </c>
      <c r="F39" s="93">
        <f>E39*'[1]Data Entry'!$F$248</f>
        <v>161290.73842293213</v>
      </c>
      <c r="G39" s="94">
        <f>'[1]Data Entry'!G218/'[1]Data Entry'!$G$228</f>
        <v>5.8064706576927617E-2</v>
      </c>
      <c r="H39" s="93">
        <f>G39*'[1]Data Entry'!$G$248</f>
        <v>210030.01533435666</v>
      </c>
    </row>
    <row r="40" spans="1:8" ht="13.5" customHeight="1" x14ac:dyDescent="0.3">
      <c r="A40" s="171" t="s">
        <v>33</v>
      </c>
      <c r="B40" s="172"/>
      <c r="C40" s="92">
        <f>'[1]Data Entry'!E219/'[1]Data Entry'!$E$228</f>
        <v>7.3950266495812211E-2</v>
      </c>
      <c r="D40" s="93">
        <f>C40*'[1]Data Entry'!$E$248</f>
        <v>133745.4068205595</v>
      </c>
      <c r="E40" s="92">
        <f>'[1]Data Entry'!F219/'[1]Data Entry'!$F$228</f>
        <v>0.13348132419650613</v>
      </c>
      <c r="F40" s="93">
        <f>E40*'[1]Data Entry'!$F$248</f>
        <v>241412.43640575235</v>
      </c>
      <c r="G40" s="94">
        <f>'[1]Data Entry'!G219/'[1]Data Entry'!$G$228</f>
        <v>0.10552456016058566</v>
      </c>
      <c r="H40" s="93">
        <f>G40*'[1]Data Entry'!$G$248</f>
        <v>381700.45618530322</v>
      </c>
    </row>
    <row r="41" spans="1:8" ht="13.5" customHeight="1" x14ac:dyDescent="0.3">
      <c r="A41" s="171" t="s">
        <v>34</v>
      </c>
      <c r="B41" s="172"/>
      <c r="C41" s="92">
        <f>'[1]Data Entry'!E220/'[1]Data Entry'!$E$228</f>
        <v>0.2468846918119858</v>
      </c>
      <c r="D41" s="93">
        <f>C41*'[1]Data Entry'!$E$248</f>
        <v>446512.16430751327</v>
      </c>
      <c r="E41" s="92">
        <f>'[1]Data Entry'!F220/'[1]Data Entry'!$F$228</f>
        <v>0.22661905221503717</v>
      </c>
      <c r="F41" s="93">
        <f>E41*'[1]Data Entry'!$F$248</f>
        <v>409860.01495351159</v>
      </c>
      <c r="G41" s="94">
        <f>'[1]Data Entry'!G220/'[1]Data Entry'!$G$228</f>
        <v>0.26008088322115952</v>
      </c>
      <c r="H41" s="93">
        <f>G41*'[1]Data Entry'!$G$248</f>
        <v>940757.21916794579</v>
      </c>
    </row>
    <row r="42" spans="1:8" ht="13.5" customHeight="1" x14ac:dyDescent="0.3">
      <c r="A42" s="171" t="s">
        <v>35</v>
      </c>
      <c r="B42" s="172"/>
      <c r="C42" s="92">
        <f>'[1]Data Entry'!E221/'[1]Data Entry'!$E$228</f>
        <v>0.11835385443943024</v>
      </c>
      <c r="D42" s="93">
        <f>C42*'[1]Data Entry'!$E$248</f>
        <v>214053.10840467745</v>
      </c>
      <c r="E42" s="92">
        <f>'[1]Data Entry'!F221/'[1]Data Entry'!$F$228</f>
        <v>0.10462310587781103</v>
      </c>
      <c r="F42" s="93">
        <f>E42*'[1]Data Entry'!$F$248</f>
        <v>189219.87061737929</v>
      </c>
      <c r="G42" s="94">
        <f>'[1]Data Entry'!G221/'[1]Data Entry'!$G$228</f>
        <v>0.11764228362262369</v>
      </c>
      <c r="H42" s="93">
        <f>G42*'[1]Data Entry'!$G$248</f>
        <v>425532.34296453733</v>
      </c>
    </row>
    <row r="43" spans="1:8" ht="13.5" customHeight="1" x14ac:dyDescent="0.3">
      <c r="A43" s="171" t="s">
        <v>36</v>
      </c>
      <c r="B43" s="172"/>
      <c r="C43" s="92">
        <f>'[1]Data Entry'!E222/'[1]Data Entry'!$E$228</f>
        <v>8.2808698720448673E-2</v>
      </c>
      <c r="D43" s="93">
        <f>C43*'[1]Data Entry'!$E$248</f>
        <v>149766.64214286156</v>
      </c>
      <c r="E43" s="92">
        <f>'[1]Data Entry'!F222/'[1]Data Entry'!$F$228</f>
        <v>5.2118521378245346E-2</v>
      </c>
      <c r="F43" s="93">
        <f>E43*'[1]Data Entry'!$F$248</f>
        <v>94260.821156259059</v>
      </c>
      <c r="G43" s="94">
        <f>'[1]Data Entry'!G222/'[1]Data Entry'!$G$228</f>
        <v>6.8248907781320103E-2</v>
      </c>
      <c r="H43" s="93">
        <f>G43*'[1]Data Entry'!$G$248</f>
        <v>246868.02005746446</v>
      </c>
    </row>
    <row r="44" spans="1:8" ht="13.5" customHeight="1" x14ac:dyDescent="0.3">
      <c r="A44" s="171" t="s">
        <v>37</v>
      </c>
      <c r="B44" s="172"/>
      <c r="C44" s="92">
        <f>'[1]Data Entry'!E223/'[1]Data Entry'!$E$228</f>
        <v>5.6734822738499821E-2</v>
      </c>
      <c r="D44" s="93">
        <f>C44*'[1]Data Entry'!$E$248</f>
        <v>102609.7985526894</v>
      </c>
      <c r="E44" s="92">
        <f>'[1]Data Entry'!F223/'[1]Data Entry'!$F$228</f>
        <v>2.1523019013608726E-2</v>
      </c>
      <c r="F44" s="93">
        <f>E44*'[1]Data Entry'!$F$248</f>
        <v>38926.227996010683</v>
      </c>
      <c r="G44" s="94">
        <f>'[1]Data Entry'!G223/'[1]Data Entry'!$G$228</f>
        <v>6.0249143936710353E-2</v>
      </c>
      <c r="H44" s="93">
        <f>G44*'[1]Data Entry'!$G$248</f>
        <v>217931.50040540009</v>
      </c>
    </row>
    <row r="45" spans="1:8" ht="13.5" customHeight="1" x14ac:dyDescent="0.3">
      <c r="A45" s="171" t="s">
        <v>38</v>
      </c>
      <c r="B45" s="172"/>
      <c r="C45" s="92">
        <f>'[1]Data Entry'!E224/'[1]Data Entry'!$E$228</f>
        <v>4.4700726131446503E-2</v>
      </c>
      <c r="D45" s="93">
        <f>C45*'[1]Data Entry'!$E$248</f>
        <v>80845.101511071494</v>
      </c>
      <c r="E45" s="92">
        <f>'[1]Data Entry'!F224/'[1]Data Entry'!$F$228</f>
        <v>7.8370813628028183E-2</v>
      </c>
      <c r="F45" s="93">
        <f>E45*'[1]Data Entry'!$F$248</f>
        <v>141740.34588681915</v>
      </c>
      <c r="G45" s="94">
        <f>'[1]Data Entry'!G224/'[1]Data Entry'!$G$228</f>
        <v>7.3717381036722165E-2</v>
      </c>
      <c r="H45" s="93">
        <f>G45*'[1]Data Entry'!$G$248</f>
        <v>266648.42694139411</v>
      </c>
    </row>
    <row r="46" spans="1:8" ht="13.5" customHeight="1" x14ac:dyDescent="0.3">
      <c r="A46" s="171" t="s">
        <v>39</v>
      </c>
      <c r="B46" s="172"/>
      <c r="C46" s="92">
        <f>'[1]Data Entry'!E225/'[1]Data Entry'!$E$228</f>
        <v>3.9853659442494478E-2</v>
      </c>
      <c r="D46" s="93">
        <f>C46*'[1]Data Entry'!$E$248</f>
        <v>72078.765202642055</v>
      </c>
      <c r="E46" s="92">
        <f>'[1]Data Entry'!F225/'[1]Data Entry'!$F$228</f>
        <v>1.1002798957629572E-2</v>
      </c>
      <c r="F46" s="93">
        <f>E46*'[1]Data Entry'!$F$248</f>
        <v>19899.506688543577</v>
      </c>
      <c r="G46" s="94">
        <f>'[1]Data Entry'!G225/'[1]Data Entry'!$G$228</f>
        <v>2.3807415279253751E-2</v>
      </c>
      <c r="H46" s="93">
        <f>G46*'[1]Data Entry'!$G$248</f>
        <v>86115.509591844777</v>
      </c>
    </row>
    <row r="47" spans="1:8" ht="13.5" customHeight="1" x14ac:dyDescent="0.3">
      <c r="A47" s="171" t="s">
        <v>40</v>
      </c>
      <c r="B47" s="172"/>
      <c r="C47" s="92">
        <f>'[1]Data Entry'!E226/'[1]Data Entry'!$E$228</f>
        <v>4.5183575686667782E-2</v>
      </c>
      <c r="D47" s="93">
        <f>C47*'[1]Data Entry'!$E$248</f>
        <v>81718.376392370978</v>
      </c>
      <c r="E47" s="92">
        <f>'[1]Data Entry'!F226/'[1]Data Entry'!$F$228</f>
        <v>0.12016214651095454</v>
      </c>
      <c r="F47" s="93">
        <f>E47*'[1]Data Entry'!$F$248</f>
        <v>217323.55988804169</v>
      </c>
      <c r="G47" s="94">
        <f>'[1]Data Entry'!G226/'[1]Data Entry'!$G$228</f>
        <v>3.8581886881568071E-2</v>
      </c>
      <c r="H47" s="93">
        <f>G47*'[1]Data Entry'!$G$248</f>
        <v>139557.31064667218</v>
      </c>
    </row>
    <row r="48" spans="1:8" ht="13.5" customHeight="1" thickBot="1" x14ac:dyDescent="0.35">
      <c r="A48" s="173" t="s">
        <v>41</v>
      </c>
      <c r="B48" s="174"/>
      <c r="C48" s="97">
        <f>'[1]Data Entry'!E227/'[1]Data Entry'!$E$228</f>
        <v>7.1814585770795025E-2</v>
      </c>
      <c r="D48" s="96">
        <f>C48*'[1]Data Entry'!$E$248</f>
        <v>129882.84484558098</v>
      </c>
      <c r="E48" s="97">
        <f>'[1]Data Entry'!F227/'[1]Data Entry'!$F$228</f>
        <v>3.7255091207412411E-2</v>
      </c>
      <c r="F48" s="96">
        <f>E48*'[1]Data Entry'!$F$248</f>
        <v>67379.031419103689</v>
      </c>
      <c r="G48" s="98">
        <f>'[1]Data Entry'!G227/'[1]Data Entry'!$G$228</f>
        <v>8.0639685913330969E-2</v>
      </c>
      <c r="H48" s="96">
        <f>G48*'[1]Data Entry'!$G$248</f>
        <v>291687.59247057897</v>
      </c>
    </row>
    <row r="49" spans="1:8" ht="13.5" customHeight="1" thickBot="1" x14ac:dyDescent="0.35">
      <c r="A49" s="199" t="s">
        <v>42</v>
      </c>
      <c r="B49" s="200"/>
      <c r="C49" s="151">
        <f t="shared" ref="C49:H49" si="4">SUM(C37:C48)</f>
        <v>1</v>
      </c>
      <c r="D49" s="152">
        <f t="shared" si="4"/>
        <v>1808585.8666666667</v>
      </c>
      <c r="E49" s="151">
        <f t="shared" si="4"/>
        <v>1</v>
      </c>
      <c r="F49" s="152">
        <f t="shared" si="4"/>
        <v>1808585.8666666665</v>
      </c>
      <c r="G49" s="153">
        <f t="shared" si="4"/>
        <v>1</v>
      </c>
      <c r="H49" s="152">
        <f t="shared" si="4"/>
        <v>3617171.7333333339</v>
      </c>
    </row>
  </sheetData>
  <mergeCells count="50">
    <mergeCell ref="A5:B5"/>
    <mergeCell ref="A1:B1"/>
    <mergeCell ref="F1:G1"/>
    <mergeCell ref="H1:I1"/>
    <mergeCell ref="C3:D3"/>
    <mergeCell ref="F3:H3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C19:D19"/>
    <mergeCell ref="E19:F19"/>
    <mergeCell ref="G19:H19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G35:H35"/>
    <mergeCell ref="A37:B37"/>
    <mergeCell ref="A38:B38"/>
    <mergeCell ref="A39:B39"/>
    <mergeCell ref="A40:B40"/>
    <mergeCell ref="C35:D35"/>
    <mergeCell ref="E35:F35"/>
    <mergeCell ref="A48:B48"/>
    <mergeCell ref="A49:B49"/>
    <mergeCell ref="A42:B42"/>
    <mergeCell ref="A43:B43"/>
    <mergeCell ref="A44:B44"/>
    <mergeCell ref="A45:B45"/>
    <mergeCell ref="A46:B46"/>
    <mergeCell ref="A47:B47"/>
  </mergeCells>
  <pageMargins left="0.2" right="0.2" top="0.75" bottom="0.25" header="0.3" footer="0"/>
  <pageSetup orientation="portrait" horizontalDpi="300" verticalDpi="300" r:id="rId1"/>
  <headerFooter>
    <oddHeader>&amp;C&amp;"-,Bold"&amp;12
WIA Dislocated Worker Allocation by WDA - October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9"/>
  </sheetPr>
  <dimension ref="A1:I49"/>
  <sheetViews>
    <sheetView tabSelected="1" view="pageLayout" zoomScaleNormal="100" workbookViewId="0">
      <selection activeCell="G7" sqref="G7"/>
    </sheetView>
  </sheetViews>
  <sheetFormatPr defaultRowHeight="14.4" x14ac:dyDescent="0.3"/>
  <cols>
    <col min="3" max="3" width="15" customWidth="1"/>
    <col min="4" max="4" width="14.44140625" customWidth="1"/>
    <col min="5" max="5" width="15" customWidth="1"/>
    <col min="6" max="6" width="12.5546875" customWidth="1"/>
    <col min="7" max="7" width="13.33203125" customWidth="1"/>
    <col min="9" max="9" width="13.33203125" bestFit="1" customWidth="1"/>
  </cols>
  <sheetData>
    <row r="1" spans="1:7" ht="15" thickBot="1" x14ac:dyDescent="0.35">
      <c r="A1" s="167" t="s">
        <v>0</v>
      </c>
      <c r="B1" s="167"/>
      <c r="C1" s="1" t="str">
        <f>'[1]Data Entry'!B1</f>
        <v>PY 2012</v>
      </c>
      <c r="D1" s="1"/>
      <c r="E1" s="221" t="s">
        <v>50</v>
      </c>
      <c r="F1" s="221"/>
      <c r="G1" s="109">
        <v>2000000</v>
      </c>
    </row>
    <row r="2" spans="1:7" ht="14.25" customHeight="1" thickBot="1" x14ac:dyDescent="0.35">
      <c r="A2" s="110"/>
      <c r="B2" s="111"/>
      <c r="C2" s="217" t="s">
        <v>51</v>
      </c>
      <c r="D2" s="218"/>
      <c r="E2" s="219"/>
    </row>
    <row r="3" spans="1:7" ht="14.25" customHeight="1" thickBot="1" x14ac:dyDescent="0.35">
      <c r="A3" s="112"/>
      <c r="B3" s="113"/>
      <c r="C3" s="114" t="s">
        <v>52</v>
      </c>
      <c r="D3" s="115" t="s">
        <v>53</v>
      </c>
      <c r="E3" s="116" t="s">
        <v>54</v>
      </c>
    </row>
    <row r="4" spans="1:7" ht="14.25" customHeight="1" x14ac:dyDescent="0.3">
      <c r="A4" s="220" t="s">
        <v>30</v>
      </c>
      <c r="B4" s="198"/>
      <c r="C4" s="117">
        <f>E4-D4</f>
        <v>116815.24923180639</v>
      </c>
      <c r="D4" s="118">
        <f>E4*10%+0.05</f>
        <v>12979.527692422931</v>
      </c>
      <c r="E4" s="119">
        <f>'[1]DW Alloc. by WDA - July Mit.'!D5</f>
        <v>129794.77692422931</v>
      </c>
    </row>
    <row r="5" spans="1:7" ht="14.25" customHeight="1" x14ac:dyDescent="0.3">
      <c r="A5" s="213" t="s">
        <v>31</v>
      </c>
      <c r="B5" s="185"/>
      <c r="C5" s="120">
        <f>E5-D5-0.25</f>
        <v>232469.77490396041</v>
      </c>
      <c r="D5" s="121">
        <f>E5*10%</f>
        <v>25830.002767106715</v>
      </c>
      <c r="E5" s="122">
        <f>'[1]DW Alloc. by WDA - July Mit.'!D6</f>
        <v>258300.02767106713</v>
      </c>
    </row>
    <row r="6" spans="1:7" ht="14.25" customHeight="1" x14ac:dyDescent="0.3">
      <c r="A6" s="213" t="s">
        <v>32</v>
      </c>
      <c r="B6" s="185"/>
      <c r="C6" s="120">
        <f>E6-D6+0.45</f>
        <v>184747.03322597529</v>
      </c>
      <c r="D6" s="121">
        <f t="shared" ref="D6:D14" si="0">E6*10%</f>
        <v>20527.398136219475</v>
      </c>
      <c r="E6" s="122">
        <f>'[1]DW Alloc. by WDA - July Mit.'!D7</f>
        <v>205273.98136219475</v>
      </c>
    </row>
    <row r="7" spans="1:7" ht="14.25" customHeight="1" x14ac:dyDescent="0.3">
      <c r="A7" s="213" t="s">
        <v>33</v>
      </c>
      <c r="B7" s="185"/>
      <c r="C7" s="123">
        <f t="shared" ref="C7:C13" si="1">E7-D7</f>
        <v>308915.46843294142</v>
      </c>
      <c r="D7" s="121">
        <f t="shared" si="0"/>
        <v>34323.940936993495</v>
      </c>
      <c r="E7" s="122">
        <f>'[1]DW Alloc. by WDA - July Mit.'!D8</f>
        <v>343239.40936993493</v>
      </c>
    </row>
    <row r="8" spans="1:7" ht="14.25" customHeight="1" x14ac:dyDescent="0.3">
      <c r="A8" s="213" t="s">
        <v>34</v>
      </c>
      <c r="B8" s="185"/>
      <c r="C8" s="123">
        <f t="shared" si="1"/>
        <v>716710.98750521545</v>
      </c>
      <c r="D8" s="124">
        <f>E8*10%</f>
        <v>79634.554167246155</v>
      </c>
      <c r="E8" s="122">
        <f>'[1]DW Alloc. by WDA - July Mit.'!D9</f>
        <v>796345.54167246155</v>
      </c>
    </row>
    <row r="9" spans="1:7" ht="14.25" customHeight="1" x14ac:dyDescent="0.3">
      <c r="A9" s="213" t="s">
        <v>35</v>
      </c>
      <c r="B9" s="185"/>
      <c r="C9" s="125">
        <f>(E9-D9)-0.04</f>
        <v>348709.78756597609</v>
      </c>
      <c r="D9" s="126">
        <f>E9*10%-0.15</f>
        <v>38745.369729552898</v>
      </c>
      <c r="E9" s="122">
        <f>'[1]DW Alloc. by WDA - July Mit.'!D10</f>
        <v>387455.19729552895</v>
      </c>
    </row>
    <row r="10" spans="1:7" ht="14.25" customHeight="1" x14ac:dyDescent="0.3">
      <c r="A10" s="213" t="s">
        <v>36</v>
      </c>
      <c r="B10" s="185"/>
      <c r="C10" s="125">
        <f>(E10-D10)-0.05</f>
        <v>224065.52526288852</v>
      </c>
      <c r="D10" s="124">
        <f>E10*10%</f>
        <v>24896.175029209837</v>
      </c>
      <c r="E10" s="122">
        <f>'[1]DW Alloc. by WDA - July Mit.'!D11</f>
        <v>248961.75029209835</v>
      </c>
    </row>
    <row r="11" spans="1:7" ht="14.25" customHeight="1" x14ac:dyDescent="0.3">
      <c r="A11" s="213" t="s">
        <v>37</v>
      </c>
      <c r="B11" s="185"/>
      <c r="C11" s="125">
        <f>E11-D11</f>
        <v>134641.99308808101</v>
      </c>
      <c r="D11" s="124">
        <f t="shared" si="0"/>
        <v>14960.221454231223</v>
      </c>
      <c r="E11" s="122">
        <f>'[1]DW Alloc. by WDA - July Mit.'!D12</f>
        <v>149602.21454231223</v>
      </c>
    </row>
    <row r="12" spans="1:7" ht="14.25" customHeight="1" x14ac:dyDescent="0.3">
      <c r="A12" s="213" t="s">
        <v>38</v>
      </c>
      <c r="B12" s="185"/>
      <c r="C12" s="125">
        <f t="shared" si="1"/>
        <v>182470.71252818403</v>
      </c>
      <c r="D12" s="126">
        <f>(E12*10%)-0.05</f>
        <v>20274.468058687115</v>
      </c>
      <c r="E12" s="122">
        <f>'[1]DW Alloc. by WDA - July Mit.'!D13</f>
        <v>202745.18058687114</v>
      </c>
    </row>
    <row r="13" spans="1:7" ht="14.25" customHeight="1" x14ac:dyDescent="0.3">
      <c r="A13" s="213" t="s">
        <v>39</v>
      </c>
      <c r="B13" s="185"/>
      <c r="C13" s="125">
        <f t="shared" si="1"/>
        <v>68216.142644206251</v>
      </c>
      <c r="D13" s="124">
        <f>(E13*10%)</f>
        <v>7579.5714049118069</v>
      </c>
      <c r="E13" s="122">
        <f>'[1]DW Alloc. by WDA - July Mit.'!D14</f>
        <v>75795.714049118062</v>
      </c>
    </row>
    <row r="14" spans="1:7" ht="14.25" customHeight="1" x14ac:dyDescent="0.3">
      <c r="A14" s="213" t="s">
        <v>40</v>
      </c>
      <c r="B14" s="185"/>
      <c r="C14" s="125">
        <f>E14-D14</f>
        <v>138970.06853782453</v>
      </c>
      <c r="D14" s="124">
        <f t="shared" si="0"/>
        <v>15441.118726424949</v>
      </c>
      <c r="E14" s="122">
        <f>'[1]DW Alloc. by WDA - July Mit.'!D15</f>
        <v>154411.18726424949</v>
      </c>
    </row>
    <row r="15" spans="1:7" ht="14.25" customHeight="1" thickBot="1" x14ac:dyDescent="0.35">
      <c r="A15" s="214" t="s">
        <v>41</v>
      </c>
      <c r="B15" s="187"/>
      <c r="C15" s="125">
        <f>E15-D15</f>
        <v>197412.0520729406</v>
      </c>
      <c r="D15" s="124">
        <f>E15*10%+0.4</f>
        <v>21935.116896993401</v>
      </c>
      <c r="E15" s="122">
        <f>'[1]DW Alloc. by WDA - July Mit.'!D16</f>
        <v>219347.16896993399</v>
      </c>
      <c r="G15" t="s">
        <v>55</v>
      </c>
    </row>
    <row r="16" spans="1:7" ht="14.25" customHeight="1" thickBot="1" x14ac:dyDescent="0.35">
      <c r="A16" s="215" t="s">
        <v>42</v>
      </c>
      <c r="B16" s="216"/>
      <c r="C16" s="127">
        <f>(SUM(C4:C15))</f>
        <v>2854144.7949999995</v>
      </c>
      <c r="D16" s="128">
        <f>SUM(D4:D15)</f>
        <v>317127.46500000003</v>
      </c>
      <c r="E16" s="129">
        <f>SUM(E4:E15)</f>
        <v>3171272.15</v>
      </c>
    </row>
    <row r="17" spans="1:9" ht="14.25" customHeight="1" thickBot="1" x14ac:dyDescent="0.35"/>
    <row r="18" spans="1:9" ht="14.25" customHeight="1" thickBot="1" x14ac:dyDescent="0.35">
      <c r="A18" s="110"/>
      <c r="B18" s="111"/>
      <c r="C18" s="217" t="s">
        <v>56</v>
      </c>
      <c r="D18" s="218"/>
      <c r="E18" s="219"/>
    </row>
    <row r="19" spans="1:9" ht="14.25" customHeight="1" thickBot="1" x14ac:dyDescent="0.35">
      <c r="A19" s="112"/>
      <c r="B19" s="113"/>
      <c r="C19" s="114" t="s">
        <v>52</v>
      </c>
      <c r="D19" s="115" t="s">
        <v>53</v>
      </c>
      <c r="E19" s="116" t="s">
        <v>54</v>
      </c>
    </row>
    <row r="20" spans="1:9" ht="14.25" customHeight="1" x14ac:dyDescent="0.3">
      <c r="A20" s="220" t="s">
        <v>30</v>
      </c>
      <c r="B20" s="198"/>
      <c r="C20" s="117">
        <f>E20-D20</f>
        <v>542580.9304909606</v>
      </c>
      <c r="D20" s="130">
        <f>E20*10%</f>
        <v>60286.770054551183</v>
      </c>
      <c r="E20" s="119">
        <f>'[1]DW Alloc. by WDA - Oct Mit.'!D5</f>
        <v>602867.70054551179</v>
      </c>
    </row>
    <row r="21" spans="1:9" ht="14.25" customHeight="1" x14ac:dyDescent="0.3">
      <c r="A21" s="213" t="s">
        <v>31</v>
      </c>
      <c r="B21" s="185"/>
      <c r="C21" s="125">
        <f>E21-D21</f>
        <v>1079771.2564460393</v>
      </c>
      <c r="D21" s="124">
        <f>E21*10%</f>
        <v>119974.58404955993</v>
      </c>
      <c r="E21" s="122">
        <f>'[1]DW Alloc. by WDA - Oct Mit.'!D6</f>
        <v>1199745.8404955992</v>
      </c>
    </row>
    <row r="22" spans="1:9" ht="14.25" customHeight="1" x14ac:dyDescent="0.3">
      <c r="A22" s="213" t="s">
        <v>32</v>
      </c>
      <c r="B22" s="185"/>
      <c r="C22" s="125">
        <f>E22-D22</f>
        <v>858106.33773850952</v>
      </c>
      <c r="D22" s="124">
        <f t="shared" ref="D22:D25" si="2">E22*10%</f>
        <v>95345.148637612176</v>
      </c>
      <c r="E22" s="122">
        <f>'[1]DW Alloc. by WDA - Oct Mit.'!D7</f>
        <v>953451.48637612164</v>
      </c>
    </row>
    <row r="23" spans="1:9" ht="14.25" customHeight="1" x14ac:dyDescent="0.3">
      <c r="A23" s="213" t="s">
        <v>33</v>
      </c>
      <c r="B23" s="185"/>
      <c r="C23" s="125">
        <f>E23-D23</f>
        <v>1434843.2389219028</v>
      </c>
      <c r="D23" s="124">
        <f>E23*10%</f>
        <v>159427.0265468781</v>
      </c>
      <c r="E23" s="122">
        <f>'[1]DW Alloc. by WDA - Oct Mit.'!D8</f>
        <v>1594270.2654687809</v>
      </c>
    </row>
    <row r="24" spans="1:9" ht="14.25" customHeight="1" x14ac:dyDescent="0.3">
      <c r="A24" s="213" t="s">
        <v>34</v>
      </c>
      <c r="B24" s="185"/>
      <c r="C24" s="125">
        <f>E24-D24</f>
        <v>3328962.1911766911</v>
      </c>
      <c r="D24" s="124">
        <f t="shared" si="2"/>
        <v>369884.68790852127</v>
      </c>
      <c r="E24" s="122">
        <f>'[1]DW Alloc. by WDA - Oct Mit.'!D9</f>
        <v>3698846.8790852125</v>
      </c>
    </row>
    <row r="25" spans="1:9" ht="14.25" customHeight="1" x14ac:dyDescent="0.3">
      <c r="A25" s="213" t="s">
        <v>35</v>
      </c>
      <c r="B25" s="185"/>
      <c r="C25" s="120">
        <f>(E25-D25)+0.5</f>
        <v>1619678.9374065453</v>
      </c>
      <c r="D25" s="124">
        <f t="shared" si="2"/>
        <v>179964.27082294947</v>
      </c>
      <c r="E25" s="122">
        <f>'[1]DW Alloc. by WDA - Oct Mit.'!D10</f>
        <v>1799642.7082294947</v>
      </c>
    </row>
    <row r="26" spans="1:9" ht="14.25" customHeight="1" x14ac:dyDescent="0.3">
      <c r="A26" s="213" t="s">
        <v>36</v>
      </c>
      <c r="B26" s="185"/>
      <c r="C26" s="120">
        <f>(E26-D26)+0.5</f>
        <v>1040734.9681442925</v>
      </c>
      <c r="D26" s="124">
        <f>E26*10%</f>
        <v>115637.16312714362</v>
      </c>
      <c r="E26" s="122">
        <f>'[1]DW Alloc. by WDA - Oct Mit.'!D11</f>
        <v>1156371.6312714361</v>
      </c>
    </row>
    <row r="27" spans="1:9" ht="14.25" customHeight="1" x14ac:dyDescent="0.3">
      <c r="A27" s="213" t="s">
        <v>37</v>
      </c>
      <c r="B27" s="185"/>
      <c r="C27" s="125">
        <f>E27-D27</f>
        <v>625381.96587210416</v>
      </c>
      <c r="D27" s="124">
        <f>E27*10%</f>
        <v>69486.885096900471</v>
      </c>
      <c r="E27" s="122">
        <f>'[1]DW Alloc. by WDA - Oct Mit.'!D12</f>
        <v>694868.85096900468</v>
      </c>
      <c r="G27" t="s">
        <v>55</v>
      </c>
    </row>
    <row r="28" spans="1:9" ht="14.25" customHeight="1" x14ac:dyDescent="0.3">
      <c r="A28" s="213" t="s">
        <v>38</v>
      </c>
      <c r="B28" s="185"/>
      <c r="C28" s="125">
        <f>E28-D28</f>
        <v>847535.47963453247</v>
      </c>
      <c r="D28" s="124">
        <f>(E28*10%)-0.06</f>
        <v>94170.542181614728</v>
      </c>
      <c r="E28" s="122">
        <f>'[1]DW Alloc. by WDA - Oct Mit.'!D13</f>
        <v>941706.02181614726</v>
      </c>
    </row>
    <row r="29" spans="1:9" ht="14.25" customHeight="1" x14ac:dyDescent="0.3">
      <c r="A29" s="213" t="s">
        <v>39</v>
      </c>
      <c r="B29" s="185"/>
      <c r="C29" s="120">
        <f>E29-D29+0.25</f>
        <v>316848.55293218972</v>
      </c>
      <c r="D29" s="124">
        <f>(E29*10%)</f>
        <v>35205.366992465526</v>
      </c>
      <c r="E29" s="122">
        <f>'[1]DW Alloc. by WDA - Oct Mit.'!D14</f>
        <v>352053.66992465523</v>
      </c>
    </row>
    <row r="30" spans="1:9" ht="14.25" customHeight="1" x14ac:dyDescent="0.3">
      <c r="A30" s="213" t="s">
        <v>40</v>
      </c>
      <c r="B30" s="185"/>
      <c r="C30" s="125">
        <f>E30-D30</f>
        <v>645484.92735341832</v>
      </c>
      <c r="D30" s="124">
        <f>E30*10%-0.05</f>
        <v>71720.4919281576</v>
      </c>
      <c r="E30" s="122">
        <f>'[1]DW Alloc. by WDA - Oct Mit.'!D15</f>
        <v>717205.41928157595</v>
      </c>
      <c r="F30" s="131"/>
    </row>
    <row r="31" spans="1:9" ht="14.25" customHeight="1" thickBot="1" x14ac:dyDescent="0.35">
      <c r="A31" s="214" t="s">
        <v>41</v>
      </c>
      <c r="B31" s="187"/>
      <c r="C31" s="120">
        <f>E31-D31-0.95</f>
        <v>916935.67888281471</v>
      </c>
      <c r="D31" s="124">
        <f>E31*10%</f>
        <v>101881.84765364608</v>
      </c>
      <c r="E31" s="122">
        <f>'[1]DW Alloc. by WDA - Oct Mit.'!D16</f>
        <v>1018818.4765364608</v>
      </c>
      <c r="F31" s="131"/>
    </row>
    <row r="32" spans="1:9" ht="14.25" customHeight="1" thickBot="1" x14ac:dyDescent="0.35">
      <c r="A32" s="215" t="s">
        <v>42</v>
      </c>
      <c r="B32" s="216"/>
      <c r="C32" s="127">
        <f>(SUM(C20:C31))</f>
        <v>13256864.464999998</v>
      </c>
      <c r="D32" s="128">
        <f>SUM(D20:D31)</f>
        <v>1472984.7850000001</v>
      </c>
      <c r="E32" s="129">
        <f>SUM(E20:E31)</f>
        <v>14729848.950000003</v>
      </c>
      <c r="F32" s="131"/>
      <c r="H32" s="132"/>
      <c r="I32" s="133"/>
    </row>
    <row r="33" spans="1:7" ht="14.25" customHeight="1" thickBot="1" x14ac:dyDescent="0.35">
      <c r="C33" s="134"/>
      <c r="D33" s="135"/>
      <c r="E33" s="134"/>
      <c r="F33" s="131"/>
    </row>
    <row r="34" spans="1:7" ht="14.25" customHeight="1" thickBot="1" x14ac:dyDescent="0.35">
      <c r="A34" s="136"/>
      <c r="B34" s="137"/>
      <c r="C34" s="208" t="s">
        <v>57</v>
      </c>
      <c r="D34" s="209"/>
      <c r="E34" s="210"/>
    </row>
    <row r="35" spans="1:7" ht="14.25" customHeight="1" thickBot="1" x14ac:dyDescent="0.35">
      <c r="A35" s="138"/>
      <c r="B35" s="139"/>
      <c r="C35" s="140" t="s">
        <v>52</v>
      </c>
      <c r="D35" s="141" t="s">
        <v>53</v>
      </c>
      <c r="E35" s="142" t="s">
        <v>54</v>
      </c>
    </row>
    <row r="36" spans="1:7" ht="14.25" customHeight="1" x14ac:dyDescent="0.3">
      <c r="A36" s="211" t="s">
        <v>30</v>
      </c>
      <c r="B36" s="212"/>
      <c r="C36" s="117">
        <f>E36-D36</f>
        <v>659396</v>
      </c>
      <c r="D36" s="143">
        <v>73267</v>
      </c>
      <c r="E36" s="144">
        <v>732663</v>
      </c>
    </row>
    <row r="37" spans="1:7" ht="14.25" customHeight="1" x14ac:dyDescent="0.3">
      <c r="A37" s="206" t="s">
        <v>31</v>
      </c>
      <c r="B37" s="207"/>
      <c r="C37" s="123">
        <f>E37-D37</f>
        <v>1312241.2813499996</v>
      </c>
      <c r="D37" s="121">
        <f>E37*10%</f>
        <v>145804.58681666662</v>
      </c>
      <c r="E37" s="122">
        <f t="shared" ref="E37:E44" si="3">SUM(E5+E21)</f>
        <v>1458045.8681666662</v>
      </c>
    </row>
    <row r="38" spans="1:7" ht="14.25" customHeight="1" x14ac:dyDescent="0.3">
      <c r="A38" s="206" t="s">
        <v>32</v>
      </c>
      <c r="B38" s="207"/>
      <c r="C38" s="123">
        <f>E38-D38</f>
        <v>1042853.4677383164</v>
      </c>
      <c r="D38" s="145">
        <v>115872</v>
      </c>
      <c r="E38" s="122">
        <f t="shared" si="3"/>
        <v>1158725.4677383164</v>
      </c>
    </row>
    <row r="39" spans="1:7" ht="14.25" customHeight="1" x14ac:dyDescent="0.3">
      <c r="A39" s="206" t="s">
        <v>33</v>
      </c>
      <c r="B39" s="207"/>
      <c r="C39" s="120">
        <v>1743758</v>
      </c>
      <c r="D39" s="121">
        <f t="shared" ref="D39:D43" si="4">E39*10%</f>
        <v>193750.90000000002</v>
      </c>
      <c r="E39" s="146">
        <v>1937509</v>
      </c>
      <c r="G39" t="s">
        <v>58</v>
      </c>
    </row>
    <row r="40" spans="1:7" ht="14.25" customHeight="1" x14ac:dyDescent="0.3">
      <c r="A40" s="206" t="s">
        <v>34</v>
      </c>
      <c r="B40" s="207"/>
      <c r="C40" s="123">
        <f>E40-D40</f>
        <v>4045673</v>
      </c>
      <c r="D40" s="145">
        <v>449520</v>
      </c>
      <c r="E40" s="146">
        <v>4495193</v>
      </c>
    </row>
    <row r="41" spans="1:7" ht="14.25" customHeight="1" x14ac:dyDescent="0.3">
      <c r="A41" s="206" t="s">
        <v>35</v>
      </c>
      <c r="B41" s="207"/>
      <c r="C41" s="147">
        <v>1968389</v>
      </c>
      <c r="D41" s="145">
        <v>218709</v>
      </c>
      <c r="E41" s="122">
        <f t="shared" si="3"/>
        <v>2187097.9055250236</v>
      </c>
    </row>
    <row r="42" spans="1:7" ht="14.25" customHeight="1" x14ac:dyDescent="0.3">
      <c r="A42" s="206" t="s">
        <v>36</v>
      </c>
      <c r="B42" s="207"/>
      <c r="C42" s="147">
        <v>1264801</v>
      </c>
      <c r="D42" s="124">
        <f t="shared" si="4"/>
        <v>140533.4</v>
      </c>
      <c r="E42" s="146">
        <v>1405334</v>
      </c>
    </row>
    <row r="43" spans="1:7" ht="14.25" customHeight="1" x14ac:dyDescent="0.3">
      <c r="A43" s="206" t="s">
        <v>37</v>
      </c>
      <c r="B43" s="207"/>
      <c r="C43" s="125">
        <f>E43-D43</f>
        <v>760023.95896018518</v>
      </c>
      <c r="D43" s="124">
        <f t="shared" si="4"/>
        <v>84447.106551131699</v>
      </c>
      <c r="E43" s="122">
        <f t="shared" si="3"/>
        <v>844471.06551131688</v>
      </c>
    </row>
    <row r="44" spans="1:7" ht="14.25" customHeight="1" x14ac:dyDescent="0.3">
      <c r="A44" s="206" t="s">
        <v>38</v>
      </c>
      <c r="B44" s="207"/>
      <c r="C44" s="125">
        <f>E44-D44</f>
        <v>1030006.1421627166</v>
      </c>
      <c r="D44" s="124">
        <f>(E44*10%)-0.06</f>
        <v>114445.06024030186</v>
      </c>
      <c r="E44" s="122">
        <f t="shared" si="3"/>
        <v>1144451.2024030185</v>
      </c>
    </row>
    <row r="45" spans="1:7" ht="14.25" customHeight="1" x14ac:dyDescent="0.3">
      <c r="A45" s="206" t="s">
        <v>39</v>
      </c>
      <c r="B45" s="207"/>
      <c r="C45" s="147">
        <v>385065</v>
      </c>
      <c r="D45" s="124">
        <f>(E45*10%)-0.03</f>
        <v>42784.97</v>
      </c>
      <c r="E45" s="146">
        <v>427850</v>
      </c>
      <c r="G45" t="s">
        <v>59</v>
      </c>
    </row>
    <row r="46" spans="1:7" ht="14.25" customHeight="1" x14ac:dyDescent="0.3">
      <c r="A46" s="206" t="s">
        <v>40</v>
      </c>
      <c r="B46" s="207"/>
      <c r="C46" s="125">
        <f>E46-D46</f>
        <v>784455</v>
      </c>
      <c r="D46" s="145">
        <v>87161</v>
      </c>
      <c r="E46" s="146">
        <v>871616</v>
      </c>
    </row>
    <row r="47" spans="1:7" ht="14.25" customHeight="1" thickBot="1" x14ac:dyDescent="0.35">
      <c r="A47" s="201" t="s">
        <v>41</v>
      </c>
      <c r="B47" s="202"/>
      <c r="C47" s="147">
        <v>1114348</v>
      </c>
      <c r="D47" s="124">
        <f>E47*10%+0.4</f>
        <v>123816.9</v>
      </c>
      <c r="E47" s="148">
        <v>1238165</v>
      </c>
    </row>
    <row r="48" spans="1:7" ht="14.25" customHeight="1" thickBot="1" x14ac:dyDescent="0.35">
      <c r="A48" s="203" t="s">
        <v>42</v>
      </c>
      <c r="B48" s="204"/>
      <c r="C48" s="149">
        <v>16111009</v>
      </c>
      <c r="D48" s="128">
        <f>SUM(D36:D47)</f>
        <v>1790111.9236080998</v>
      </c>
      <c r="E48" s="150">
        <v>17901121</v>
      </c>
    </row>
    <row r="49" spans="1:7" ht="29.25" customHeight="1" x14ac:dyDescent="0.3">
      <c r="A49" s="205" t="s">
        <v>60</v>
      </c>
      <c r="B49" s="205"/>
      <c r="C49" s="205"/>
      <c r="D49" s="205"/>
      <c r="E49" s="205"/>
      <c r="F49" s="205"/>
      <c r="G49" s="205"/>
    </row>
  </sheetData>
  <mergeCells count="45">
    <mergeCell ref="A6:B6"/>
    <mergeCell ref="A1:B1"/>
    <mergeCell ref="E1:F1"/>
    <mergeCell ref="C2:E2"/>
    <mergeCell ref="A4:B4"/>
    <mergeCell ref="A5:B5"/>
    <mergeCell ref="C18:E18"/>
    <mergeCell ref="A20:B20"/>
    <mergeCell ref="A7:B7"/>
    <mergeCell ref="A8:B8"/>
    <mergeCell ref="A9:B9"/>
    <mergeCell ref="A10:B10"/>
    <mergeCell ref="A11:B11"/>
    <mergeCell ref="A12:B12"/>
    <mergeCell ref="A26:B26"/>
    <mergeCell ref="A13:B13"/>
    <mergeCell ref="A14:B14"/>
    <mergeCell ref="A15:B15"/>
    <mergeCell ref="A16:B16"/>
    <mergeCell ref="A21:B21"/>
    <mergeCell ref="A22:B22"/>
    <mergeCell ref="A23:B23"/>
    <mergeCell ref="A24:B24"/>
    <mergeCell ref="A25:B25"/>
    <mergeCell ref="A40:B40"/>
    <mergeCell ref="A27:B27"/>
    <mergeCell ref="A28:B28"/>
    <mergeCell ref="A29:B29"/>
    <mergeCell ref="A30:B30"/>
    <mergeCell ref="A31:B31"/>
    <mergeCell ref="A32:B32"/>
    <mergeCell ref="C34:E34"/>
    <mergeCell ref="A36:B36"/>
    <mergeCell ref="A37:B37"/>
    <mergeCell ref="A38:B38"/>
    <mergeCell ref="A39:B39"/>
    <mergeCell ref="A47:B47"/>
    <mergeCell ref="A48:B48"/>
    <mergeCell ref="A49:G49"/>
    <mergeCell ref="A41:B41"/>
    <mergeCell ref="A42:B42"/>
    <mergeCell ref="A43:B43"/>
    <mergeCell ref="A44:B44"/>
    <mergeCell ref="A45:B45"/>
    <mergeCell ref="A46:B46"/>
  </mergeCells>
  <printOptions horizontalCentered="1"/>
  <pageMargins left="0.7" right="0.7" top="0.70833333333333304" bottom="0.25" header="0.3" footer="0"/>
  <pageSetup orientation="portrait" horizontalDpi="300" verticalDpi="300" r:id="rId1"/>
  <headerFooter>
    <oddHeader>&amp;C&amp;"-,Bold"&amp;12
WIA Dislocated Worker Local Allocation Summary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A352F9A7CB9C4898A9BE191B2E2840" ma:contentTypeVersion="0" ma:contentTypeDescription="Create a new document." ma:contentTypeScope="" ma:versionID="58488324afe645e8c4fc37aed174551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BDFF41-E312-4EC9-ADF7-37ECA40E07BA}"/>
</file>

<file path=customXml/itemProps2.xml><?xml version="1.0" encoding="utf-8"?>
<ds:datastoreItem xmlns:ds="http://schemas.openxmlformats.org/officeDocument/2006/customXml" ds:itemID="{AD3728B5-686B-48CC-95DA-95740191C93C}"/>
</file>

<file path=customXml/itemProps3.xml><?xml version="1.0" encoding="utf-8"?>
<ds:datastoreItem xmlns:ds="http://schemas.openxmlformats.org/officeDocument/2006/customXml" ds:itemID="{0EA8F34D-FF4C-432A-B924-171EC0EF33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Planning Allocations</vt:lpstr>
      <vt:lpstr>DW Alloc. by WDA - Mitigation 3</vt:lpstr>
      <vt:lpstr>DW Alloc. by WDA - Oct Mit.</vt:lpstr>
      <vt:lpstr>DW Allocation Summary- $2M Mit.</vt:lpstr>
    </vt:vector>
  </TitlesOfParts>
  <Company>ESD -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jcornell</dc:creator>
  <cp:lastModifiedBy>dfussell</cp:lastModifiedBy>
  <cp:lastPrinted>2012-09-19T16:13:27Z</cp:lastPrinted>
  <dcterms:created xsi:type="dcterms:W3CDTF">2012-09-17T18:37:10Z</dcterms:created>
  <dcterms:modified xsi:type="dcterms:W3CDTF">2017-05-18T18:04:34Z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0x01010011A352F9A7CB9C4898A9BE191B2E2840</vt:lpwstr>
  </property>
</Properties>
</file>