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/ESPIO/ESAP/WESAP/WIOA Historical Documents/WorkSource Information Notice (WIN)/WINS to be Archived/"/>
    </mc:Choice>
  </mc:AlternateContent>
  <bookViews>
    <workbookView xWindow="240" yWindow="108" windowWidth="15492" windowHeight="9072" activeTab="2"/>
  </bookViews>
  <sheets>
    <sheet name="Adult Allocation by WDA" sheetId="1" r:id="rId1"/>
    <sheet name="Adult Allocation by WDA - Oct" sheetId="2" r:id="rId2"/>
    <sheet name="Adult Allocation Summary" sheetId="4" r:id="rId3"/>
    <sheet name="Sheet3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46" i="4" l="1"/>
  <c r="C46" i="4" s="1"/>
  <c r="D42" i="4"/>
  <c r="C42" i="4" s="1"/>
  <c r="D36" i="4"/>
  <c r="C36" i="4" s="1"/>
  <c r="E31" i="4"/>
  <c r="D31" i="4" s="1"/>
  <c r="C31" i="4" s="1"/>
  <c r="E30" i="4"/>
  <c r="D30" i="4" s="1"/>
  <c r="C30" i="4" s="1"/>
  <c r="E29" i="4"/>
  <c r="D29" i="4" s="1"/>
  <c r="C29" i="4" s="1"/>
  <c r="E28" i="4"/>
  <c r="D28" i="4" s="1"/>
  <c r="C28" i="4" s="1"/>
  <c r="E27" i="4"/>
  <c r="D27" i="4" s="1"/>
  <c r="C27" i="4" s="1"/>
  <c r="E26" i="4"/>
  <c r="D26" i="4"/>
  <c r="C26" i="4" s="1"/>
  <c r="E25" i="4"/>
  <c r="D25" i="4" s="1"/>
  <c r="C25" i="4" s="1"/>
  <c r="E24" i="4"/>
  <c r="D24" i="4" s="1"/>
  <c r="C24" i="4" s="1"/>
  <c r="E23" i="4"/>
  <c r="D23" i="4" s="1"/>
  <c r="C23" i="4" s="1"/>
  <c r="E22" i="4"/>
  <c r="D22" i="4" s="1"/>
  <c r="C22" i="4" s="1"/>
  <c r="E21" i="4"/>
  <c r="D21" i="4" s="1"/>
  <c r="C21" i="4" s="1"/>
  <c r="E20" i="4"/>
  <c r="E32" i="4" s="1"/>
  <c r="E15" i="4"/>
  <c r="E14" i="4"/>
  <c r="D14" i="4"/>
  <c r="C14" i="4" s="1"/>
  <c r="E13" i="4"/>
  <c r="E45" i="4" s="1"/>
  <c r="E12" i="4"/>
  <c r="D12" i="4" s="1"/>
  <c r="C12" i="4" s="1"/>
  <c r="E11" i="4"/>
  <c r="E43" i="4" s="1"/>
  <c r="E10" i="4"/>
  <c r="D10" i="4" s="1"/>
  <c r="C10" i="4" s="1"/>
  <c r="E9" i="4"/>
  <c r="E8" i="4"/>
  <c r="E40" i="4" s="1"/>
  <c r="E7" i="4"/>
  <c r="E6" i="4"/>
  <c r="D6" i="4"/>
  <c r="C6" i="4" s="1"/>
  <c r="E5" i="4"/>
  <c r="E37" i="4" s="1"/>
  <c r="E4" i="4"/>
  <c r="D4" i="4" s="1"/>
  <c r="C1" i="4"/>
  <c r="E49" i="2"/>
  <c r="E48" i="2"/>
  <c r="E47" i="2"/>
  <c r="E46" i="2"/>
  <c r="E45" i="2"/>
  <c r="E44" i="2"/>
  <c r="E43" i="2"/>
  <c r="E42" i="2"/>
  <c r="E41" i="2"/>
  <c r="E40" i="2"/>
  <c r="E39" i="2"/>
  <c r="E38" i="2"/>
  <c r="G33" i="2"/>
  <c r="H30" i="2" s="1"/>
  <c r="E33" i="2"/>
  <c r="F30" i="2" s="1"/>
  <c r="C33" i="2"/>
  <c r="F32" i="2"/>
  <c r="D32" i="2"/>
  <c r="F31" i="2"/>
  <c r="D31" i="2"/>
  <c r="D30" i="2"/>
  <c r="H29" i="2"/>
  <c r="F29" i="2"/>
  <c r="D29" i="2"/>
  <c r="F28" i="2"/>
  <c r="D28" i="2"/>
  <c r="F27" i="2"/>
  <c r="D27" i="2"/>
  <c r="D26" i="2"/>
  <c r="H25" i="2"/>
  <c r="F25" i="2"/>
  <c r="D25" i="2"/>
  <c r="F24" i="2"/>
  <c r="D24" i="2"/>
  <c r="F23" i="2"/>
  <c r="D23" i="2"/>
  <c r="F22" i="2"/>
  <c r="D22" i="2"/>
  <c r="H21" i="2"/>
  <c r="F21" i="2"/>
  <c r="D21" i="2"/>
  <c r="J16" i="2"/>
  <c r="I16" i="2"/>
  <c r="F16" i="2"/>
  <c r="E16" i="2"/>
  <c r="C16" i="2"/>
  <c r="D16" i="2" s="1"/>
  <c r="J15" i="2"/>
  <c r="I15" i="2"/>
  <c r="F15" i="2"/>
  <c r="E15" i="2"/>
  <c r="C15" i="2"/>
  <c r="J14" i="2"/>
  <c r="I14" i="2"/>
  <c r="F14" i="2"/>
  <c r="E14" i="2"/>
  <c r="C14" i="2"/>
  <c r="J13" i="2"/>
  <c r="I13" i="2"/>
  <c r="F13" i="2"/>
  <c r="E13" i="2"/>
  <c r="C13" i="2"/>
  <c r="J12" i="2"/>
  <c r="I12" i="2"/>
  <c r="H12" i="2"/>
  <c r="F12" i="2"/>
  <c r="E12" i="2"/>
  <c r="C12" i="2"/>
  <c r="J11" i="2"/>
  <c r="I11" i="2"/>
  <c r="F11" i="2"/>
  <c r="E11" i="2"/>
  <c r="C11" i="2"/>
  <c r="J10" i="2"/>
  <c r="I10" i="2"/>
  <c r="F10" i="2"/>
  <c r="E10" i="2"/>
  <c r="C10" i="2"/>
  <c r="J9" i="2"/>
  <c r="I9" i="2"/>
  <c r="F9" i="2"/>
  <c r="E9" i="2"/>
  <c r="C9" i="2"/>
  <c r="D9" i="2" s="1"/>
  <c r="J8" i="2"/>
  <c r="I8" i="2"/>
  <c r="F8" i="2"/>
  <c r="E8" i="2"/>
  <c r="C8" i="2"/>
  <c r="J7" i="2"/>
  <c r="I7" i="2"/>
  <c r="F7" i="2"/>
  <c r="E7" i="2"/>
  <c r="C7" i="2"/>
  <c r="J6" i="2"/>
  <c r="I6" i="2"/>
  <c r="F6" i="2"/>
  <c r="E6" i="2"/>
  <c r="C6" i="2"/>
  <c r="J5" i="2"/>
  <c r="J17" i="2" s="1"/>
  <c r="I5" i="2"/>
  <c r="F5" i="2"/>
  <c r="E5" i="2"/>
  <c r="C5" i="2"/>
  <c r="D5" i="2" s="1"/>
  <c r="F1" i="2"/>
  <c r="C1" i="2"/>
  <c r="G33" i="1"/>
  <c r="E33" i="1"/>
  <c r="F30" i="1" s="1"/>
  <c r="C33" i="1"/>
  <c r="D30" i="1" s="1"/>
  <c r="I30" i="1" s="1"/>
  <c r="H32" i="1"/>
  <c r="D32" i="1"/>
  <c r="H31" i="1"/>
  <c r="H30" i="1"/>
  <c r="H29" i="1"/>
  <c r="F29" i="1"/>
  <c r="D29" i="1"/>
  <c r="H28" i="1"/>
  <c r="D28" i="1"/>
  <c r="H27" i="1"/>
  <c r="H26" i="1"/>
  <c r="D26" i="1"/>
  <c r="H25" i="1"/>
  <c r="F25" i="1"/>
  <c r="D25" i="1"/>
  <c r="H24" i="1"/>
  <c r="D24" i="1"/>
  <c r="H23" i="1"/>
  <c r="H22" i="1"/>
  <c r="D22" i="1"/>
  <c r="H21" i="1"/>
  <c r="F21" i="1"/>
  <c r="D21" i="1"/>
  <c r="I16" i="1"/>
  <c r="E16" i="1"/>
  <c r="C16" i="1"/>
  <c r="D16" i="1" s="1"/>
  <c r="I15" i="1"/>
  <c r="E15" i="1"/>
  <c r="C15" i="1"/>
  <c r="I14" i="1"/>
  <c r="E14" i="1"/>
  <c r="C14" i="1"/>
  <c r="I13" i="1"/>
  <c r="E13" i="1"/>
  <c r="F13" i="1" s="1"/>
  <c r="C13" i="1"/>
  <c r="I12" i="1"/>
  <c r="E12" i="1"/>
  <c r="C12" i="1"/>
  <c r="D12" i="1" s="1"/>
  <c r="I11" i="1"/>
  <c r="E11" i="1"/>
  <c r="C11" i="1"/>
  <c r="I10" i="1"/>
  <c r="J10" i="1" s="1"/>
  <c r="E10" i="1"/>
  <c r="C10" i="1"/>
  <c r="I9" i="1"/>
  <c r="E9" i="1"/>
  <c r="E42" i="1" s="1"/>
  <c r="C9" i="1"/>
  <c r="I8" i="1"/>
  <c r="E8" i="1"/>
  <c r="C8" i="1"/>
  <c r="D8" i="1" s="1"/>
  <c r="I7" i="1"/>
  <c r="E7" i="1"/>
  <c r="C7" i="1"/>
  <c r="I6" i="1"/>
  <c r="J6" i="1" s="1"/>
  <c r="E6" i="1"/>
  <c r="C6" i="1"/>
  <c r="I5" i="1"/>
  <c r="E5" i="1"/>
  <c r="E38" i="1" s="1"/>
  <c r="C5" i="1"/>
  <c r="F1" i="1"/>
  <c r="F15" i="1" s="1"/>
  <c r="C1" i="1"/>
  <c r="I22" i="2" l="1"/>
  <c r="H24" i="2"/>
  <c r="I26" i="2"/>
  <c r="H28" i="2"/>
  <c r="I30" i="2"/>
  <c r="I31" i="2"/>
  <c r="H32" i="2"/>
  <c r="E50" i="2"/>
  <c r="E38" i="4"/>
  <c r="E41" i="4"/>
  <c r="I17" i="1"/>
  <c r="D7" i="1"/>
  <c r="E41" i="1"/>
  <c r="J9" i="1"/>
  <c r="D11" i="1"/>
  <c r="E45" i="1"/>
  <c r="E49" i="1"/>
  <c r="H33" i="1"/>
  <c r="D23" i="1"/>
  <c r="F24" i="1"/>
  <c r="I24" i="1" s="1"/>
  <c r="D27" i="1"/>
  <c r="F28" i="1"/>
  <c r="I28" i="1" s="1"/>
  <c r="D31" i="1"/>
  <c r="F32" i="1"/>
  <c r="I32" i="1" s="1"/>
  <c r="E17" i="2"/>
  <c r="D6" i="2"/>
  <c r="D10" i="2"/>
  <c r="D13" i="2"/>
  <c r="D33" i="2"/>
  <c r="H23" i="2"/>
  <c r="I23" i="2" s="1"/>
  <c r="F26" i="2"/>
  <c r="H27" i="2"/>
  <c r="I27" i="2" s="1"/>
  <c r="H31" i="2"/>
  <c r="E39" i="4"/>
  <c r="E47" i="4"/>
  <c r="D6" i="1"/>
  <c r="E40" i="1"/>
  <c r="J8" i="1"/>
  <c r="D10" i="1"/>
  <c r="E44" i="1"/>
  <c r="J12" i="1"/>
  <c r="E48" i="1"/>
  <c r="J16" i="1"/>
  <c r="I22" i="1"/>
  <c r="F23" i="1"/>
  <c r="F27" i="1"/>
  <c r="F31" i="1"/>
  <c r="F17" i="2"/>
  <c r="D7" i="2"/>
  <c r="D11" i="2"/>
  <c r="G11" i="2" s="1"/>
  <c r="D14" i="2"/>
  <c r="F33" i="2"/>
  <c r="H22" i="2"/>
  <c r="I24" i="2"/>
  <c r="I25" i="2"/>
  <c r="H26" i="2"/>
  <c r="I28" i="2"/>
  <c r="I29" i="2"/>
  <c r="I32" i="2"/>
  <c r="D8" i="4"/>
  <c r="C8" i="4" s="1"/>
  <c r="D20" i="4"/>
  <c r="C20" i="4" s="1"/>
  <c r="C32" i="4" s="1"/>
  <c r="C17" i="1"/>
  <c r="E39" i="1"/>
  <c r="J7" i="1"/>
  <c r="D9" i="1"/>
  <c r="E43" i="1"/>
  <c r="J11" i="1"/>
  <c r="D13" i="1"/>
  <c r="E47" i="1"/>
  <c r="J15" i="1"/>
  <c r="D33" i="1"/>
  <c r="F22" i="1"/>
  <c r="I25" i="1"/>
  <c r="F26" i="1"/>
  <c r="F33" i="1" s="1"/>
  <c r="I29" i="1"/>
  <c r="I17" i="2"/>
  <c r="D8" i="2"/>
  <c r="D12" i="2"/>
  <c r="D17" i="2" s="1"/>
  <c r="D15" i="2"/>
  <c r="G15" i="2" s="1"/>
  <c r="D37" i="4"/>
  <c r="E48" i="4"/>
  <c r="C37" i="4"/>
  <c r="C38" i="4"/>
  <c r="D38" i="4"/>
  <c r="D45" i="4"/>
  <c r="C45" i="4" s="1"/>
  <c r="C4" i="4"/>
  <c r="D39" i="4"/>
  <c r="C39" i="4" s="1"/>
  <c r="D40" i="4"/>
  <c r="C40" i="4" s="1"/>
  <c r="C43" i="4"/>
  <c r="D43" i="4"/>
  <c r="D47" i="4"/>
  <c r="C47" i="4" s="1"/>
  <c r="D5" i="4"/>
  <c r="C5" i="4" s="1"/>
  <c r="D7" i="4"/>
  <c r="C7" i="4" s="1"/>
  <c r="D9" i="4"/>
  <c r="C9" i="4" s="1"/>
  <c r="D11" i="4"/>
  <c r="C11" i="4" s="1"/>
  <c r="D13" i="4"/>
  <c r="C13" i="4" s="1"/>
  <c r="D15" i="4"/>
  <c r="C15" i="4" s="1"/>
  <c r="E16" i="4"/>
  <c r="D32" i="4"/>
  <c r="G5" i="2"/>
  <c r="G6" i="2"/>
  <c r="G8" i="2"/>
  <c r="G10" i="2"/>
  <c r="C46" i="2"/>
  <c r="D46" i="2" s="1"/>
  <c r="G13" i="2"/>
  <c r="G7" i="2"/>
  <c r="G9" i="2"/>
  <c r="G14" i="2"/>
  <c r="G16" i="2"/>
  <c r="C17" i="2"/>
  <c r="I21" i="2"/>
  <c r="C46" i="1"/>
  <c r="D46" i="1" s="1"/>
  <c r="G13" i="1"/>
  <c r="C45" i="1"/>
  <c r="D45" i="1" s="1"/>
  <c r="D5" i="1"/>
  <c r="F5" i="1"/>
  <c r="J5" i="1"/>
  <c r="F6" i="1"/>
  <c r="G6" i="1" s="1"/>
  <c r="F7" i="1"/>
  <c r="F8" i="1"/>
  <c r="G8" i="1" s="1"/>
  <c r="F9" i="1"/>
  <c r="G9" i="1" s="1"/>
  <c r="F10" i="1"/>
  <c r="F11" i="1"/>
  <c r="G11" i="1" s="1"/>
  <c r="F12" i="1"/>
  <c r="G12" i="1" s="1"/>
  <c r="J13" i="1"/>
  <c r="D14" i="1"/>
  <c r="F14" i="1"/>
  <c r="J14" i="1"/>
  <c r="D15" i="1"/>
  <c r="E17" i="1"/>
  <c r="E46" i="1"/>
  <c r="F16" i="1"/>
  <c r="G16" i="1" s="1"/>
  <c r="I21" i="1"/>
  <c r="E50" i="1" l="1"/>
  <c r="G7" i="1"/>
  <c r="C48" i="2"/>
  <c r="D48" i="2" s="1"/>
  <c r="G12" i="2"/>
  <c r="I26" i="1"/>
  <c r="I31" i="1"/>
  <c r="I23" i="1"/>
  <c r="G10" i="1"/>
  <c r="C45" i="2"/>
  <c r="D45" i="2" s="1"/>
  <c r="C48" i="4"/>
  <c r="H33" i="2"/>
  <c r="I33" i="2" s="1"/>
  <c r="I33" i="1"/>
  <c r="I27" i="1"/>
  <c r="D16" i="4"/>
  <c r="D48" i="4"/>
  <c r="C16" i="4"/>
  <c r="J33" i="2"/>
  <c r="J21" i="2" s="1"/>
  <c r="H5" i="2" s="1"/>
  <c r="G17" i="2"/>
  <c r="J33" i="1"/>
  <c r="J21" i="1" s="1"/>
  <c r="H5" i="1" s="1"/>
  <c r="G15" i="1"/>
  <c r="C48" i="1"/>
  <c r="D48" i="1" s="1"/>
  <c r="D17" i="1"/>
  <c r="G5" i="1"/>
  <c r="G17" i="1" s="1"/>
  <c r="J17" i="1"/>
  <c r="G14" i="1"/>
  <c r="F17" i="1"/>
  <c r="C38" i="2" l="1"/>
  <c r="J23" i="2"/>
  <c r="H7" i="2" s="1"/>
  <c r="C40" i="2" s="1"/>
  <c r="D40" i="2" s="1"/>
  <c r="J25" i="2"/>
  <c r="H9" i="2" s="1"/>
  <c r="C42" i="2" s="1"/>
  <c r="D42" i="2" s="1"/>
  <c r="J27" i="2"/>
  <c r="H11" i="2" s="1"/>
  <c r="C44" i="2" s="1"/>
  <c r="D44" i="2" s="1"/>
  <c r="J29" i="2"/>
  <c r="J31" i="2"/>
  <c r="J22" i="2"/>
  <c r="H6" i="2" s="1"/>
  <c r="C39" i="2" s="1"/>
  <c r="D39" i="2" s="1"/>
  <c r="J24" i="2"/>
  <c r="H8" i="2" s="1"/>
  <c r="C41" i="2" s="1"/>
  <c r="D41" i="2" s="1"/>
  <c r="J26" i="2"/>
  <c r="H10" i="2" s="1"/>
  <c r="C43" i="2" s="1"/>
  <c r="D43" i="2" s="1"/>
  <c r="J28" i="2"/>
  <c r="J30" i="2"/>
  <c r="H14" i="2" s="1"/>
  <c r="C47" i="2" s="1"/>
  <c r="D47" i="2" s="1"/>
  <c r="J32" i="2"/>
  <c r="H16" i="2" s="1"/>
  <c r="C49" i="2" s="1"/>
  <c r="D49" i="2" s="1"/>
  <c r="J25" i="1"/>
  <c r="H9" i="1" s="1"/>
  <c r="C42" i="1" s="1"/>
  <c r="D42" i="1" s="1"/>
  <c r="J29" i="1"/>
  <c r="J24" i="1"/>
  <c r="H8" i="1" s="1"/>
  <c r="C41" i="1" s="1"/>
  <c r="D41" i="1" s="1"/>
  <c r="J28" i="1"/>
  <c r="J32" i="1"/>
  <c r="H16" i="1" s="1"/>
  <c r="C49" i="1" s="1"/>
  <c r="D49" i="1" s="1"/>
  <c r="J23" i="1"/>
  <c r="H7" i="1" s="1"/>
  <c r="C40" i="1" s="1"/>
  <c r="D40" i="1" s="1"/>
  <c r="J27" i="1"/>
  <c r="H11" i="1" s="1"/>
  <c r="C44" i="1" s="1"/>
  <c r="D44" i="1" s="1"/>
  <c r="J31" i="1"/>
  <c r="J22" i="1"/>
  <c r="H6" i="1" s="1"/>
  <c r="C39" i="1" s="1"/>
  <c r="D39" i="1" s="1"/>
  <c r="J26" i="1"/>
  <c r="H10" i="1" s="1"/>
  <c r="C43" i="1" s="1"/>
  <c r="D43" i="1" s="1"/>
  <c r="J30" i="1"/>
  <c r="H14" i="1" s="1"/>
  <c r="C47" i="1" s="1"/>
  <c r="D47" i="1" s="1"/>
  <c r="C38" i="1"/>
  <c r="H17" i="2" l="1"/>
  <c r="D38" i="2"/>
  <c r="C50" i="2"/>
  <c r="D50" i="2" s="1"/>
  <c r="D38" i="1"/>
  <c r="C50" i="1"/>
  <c r="D50" i="1" s="1"/>
  <c r="H17" i="1"/>
</calcChain>
</file>

<file path=xl/sharedStrings.xml><?xml version="1.0" encoding="utf-8"?>
<sst xmlns="http://schemas.openxmlformats.org/spreadsheetml/2006/main" count="189" uniqueCount="51">
  <si>
    <t>Program Year:</t>
  </si>
  <si>
    <t>Local Allotment:</t>
  </si>
  <si>
    <t>Pre-Hold Harmless(HH) Share</t>
  </si>
  <si>
    <t xml:space="preserve">HH Level (90%) </t>
  </si>
  <si>
    <t>HH Level (90%) Allotment</t>
  </si>
  <si>
    <t>Pre HH Share Less HH Level</t>
  </si>
  <si>
    <t>HH Adjustment</t>
  </si>
  <si>
    <t>Stop Gain Level (130%)</t>
  </si>
  <si>
    <t xml:space="preserve">Stop Gain Level Allotment </t>
  </si>
  <si>
    <t>%</t>
  </si>
  <si>
    <t>$</t>
  </si>
  <si>
    <t>1 - Olympic</t>
  </si>
  <si>
    <t>2 - Pac Mountain</t>
  </si>
  <si>
    <t>3 - Northwest</t>
  </si>
  <si>
    <t>4 - Snohomish</t>
  </si>
  <si>
    <t>5 - Seattle-King</t>
  </si>
  <si>
    <t>6 - Tacoma-Pierce</t>
  </si>
  <si>
    <t>7 - Southwest</t>
  </si>
  <si>
    <t>8 - North Central</t>
  </si>
  <si>
    <t>9 - South Central</t>
  </si>
  <si>
    <t>10 - Eastern</t>
  </si>
  <si>
    <t>11 - Benton-Franklin</t>
  </si>
  <si>
    <t>12 - Spokane</t>
  </si>
  <si>
    <t>TOTALS</t>
  </si>
  <si>
    <t>Hold Harmless Adjustment Worksheet</t>
  </si>
  <si>
    <t>HH/SG Adjustment</t>
  </si>
  <si>
    <t>Number Unempl. in ASU</t>
  </si>
  <si>
    <t>ASU % Share</t>
  </si>
  <si>
    <t>Number of Excess Unempl.</t>
  </si>
  <si>
    <t>Excess % Share</t>
  </si>
  <si>
    <t>Number of Adult Econ. Disadvant.</t>
  </si>
  <si>
    <t>Econ. Disadvant.   % Share</t>
  </si>
  <si>
    <t>% Adjustment</t>
  </si>
  <si>
    <t>Adjustment Amount</t>
  </si>
  <si>
    <t>FINAL ALLOCATION</t>
  </si>
  <si>
    <t>Hold Harmless</t>
  </si>
  <si>
    <t>After HH Adj. $</t>
  </si>
  <si>
    <t>After HH          Adj. %</t>
  </si>
  <si>
    <t>Level Minimum</t>
  </si>
  <si>
    <t>Requirement</t>
  </si>
  <si>
    <t>Number of Youth Econ. Disadvant.</t>
  </si>
  <si>
    <t>Adult Allocation - July 1st</t>
  </si>
  <si>
    <t>Program</t>
  </si>
  <si>
    <t>Cost Pool</t>
  </si>
  <si>
    <t>Total</t>
  </si>
  <si>
    <t xml:space="preserve"> </t>
  </si>
  <si>
    <t>Adult Allocation - October 1st</t>
  </si>
  <si>
    <t xml:space="preserve">                                                  </t>
  </si>
  <si>
    <t>Total Adult Allocation</t>
  </si>
  <si>
    <t xml:space="preserve">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</si>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</sst>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0" fillId="2" borderId="0" xfId="0" applyFill="1"/>
    <xf numFmtId="164" fontId="2" fillId="2" borderId="0" xfId="2" applyNumberFormat="1" applyFont="1" applyFill="1"/>
    <xf numFmtId="43" fontId="0" fillId="0" borderId="0" xfId="1" applyFont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6" xfId="0" applyFont="1" applyFill="1" applyBorder="1" applyAlignment="1">
      <alignment horizontal="center" vertical="center"/>
    </xf>
    <xf numFmtId="165" fontId="0" fillId="0" borderId="10" xfId="3" applyNumberFormat="1" applyFont="1" applyBorder="1"/>
    <xf numFmtId="164" fontId="0" fillId="0" borderId="11" xfId="2" applyNumberFormat="1" applyFont="1" applyFill="1" applyBorder="1"/>
    <xf numFmtId="165" fontId="0" fillId="0" borderId="11" xfId="3" applyNumberFormat="1" applyFont="1" applyBorder="1"/>
    <xf numFmtId="164" fontId="0" fillId="0" borderId="11" xfId="2" applyNumberFormat="1" applyFont="1" applyBorder="1"/>
    <xf numFmtId="164" fontId="0" fillId="0" borderId="11" xfId="0" applyNumberFormat="1" applyBorder="1"/>
    <xf numFmtId="164" fontId="3" fillId="0" borderId="11" xfId="0" applyNumberFormat="1" applyFont="1" applyBorder="1"/>
    <xf numFmtId="164" fontId="0" fillId="0" borderId="12" xfId="2" applyNumberFormat="1" applyFont="1" applyBorder="1"/>
    <xf numFmtId="165" fontId="0" fillId="0" borderId="15" xfId="3" applyNumberFormat="1" applyFont="1" applyBorder="1"/>
    <xf numFmtId="164" fontId="0" fillId="0" borderId="16" xfId="2" applyNumberFormat="1" applyFont="1" applyBorder="1"/>
    <xf numFmtId="165" fontId="0" fillId="0" borderId="16" xfId="3" applyNumberFormat="1" applyFont="1" applyBorder="1"/>
    <xf numFmtId="164" fontId="0" fillId="0" borderId="16" xfId="0" applyNumberFormat="1" applyBorder="1"/>
    <xf numFmtId="164" fontId="3" fillId="0" borderId="16" xfId="0" applyNumberFormat="1" applyFont="1" applyBorder="1"/>
    <xf numFmtId="164" fontId="0" fillId="0" borderId="14" xfId="2" applyNumberFormat="1" applyFont="1" applyBorder="1"/>
    <xf numFmtId="165" fontId="0" fillId="0" borderId="19" xfId="3" applyNumberFormat="1" applyFont="1" applyBorder="1"/>
    <xf numFmtId="164" fontId="0" fillId="0" borderId="20" xfId="2" applyNumberFormat="1" applyFont="1" applyBorder="1"/>
    <xf numFmtId="165" fontId="0" fillId="0" borderId="20" xfId="3" applyNumberFormat="1" applyFont="1" applyBorder="1"/>
    <xf numFmtId="9" fontId="2" fillId="0" borderId="23" xfId="3" applyFont="1" applyBorder="1"/>
    <xf numFmtId="164" fontId="2" fillId="0" borderId="24" xfId="0" applyNumberFormat="1" applyFont="1" applyBorder="1"/>
    <xf numFmtId="9" fontId="2" fillId="0" borderId="24" xfId="0" applyNumberFormat="1" applyFont="1" applyBorder="1"/>
    <xf numFmtId="164" fontId="0" fillId="0" borderId="24" xfId="0" applyNumberFormat="1" applyBorder="1"/>
    <xf numFmtId="164" fontId="2" fillId="0" borderId="25" xfId="0" applyNumberFormat="1" applyFont="1" applyBorder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6" fontId="0" fillId="0" borderId="10" xfId="1" applyNumberFormat="1" applyFont="1" applyBorder="1" applyProtection="1">
      <protection locked="0"/>
    </xf>
    <xf numFmtId="166" fontId="0" fillId="0" borderId="11" xfId="1" applyNumberFormat="1" applyFont="1" applyBorder="1" applyProtection="1">
      <protection locked="0"/>
    </xf>
    <xf numFmtId="166" fontId="0" fillId="0" borderId="27" xfId="1" applyNumberFormat="1" applyFont="1" applyBorder="1" applyProtection="1">
      <protection locked="0"/>
    </xf>
    <xf numFmtId="165" fontId="0" fillId="0" borderId="12" xfId="3" applyNumberFormat="1" applyFont="1" applyBorder="1"/>
    <xf numFmtId="165" fontId="0" fillId="0" borderId="28" xfId="3" applyNumberFormat="1" applyFont="1" applyBorder="1" applyAlignment="1">
      <alignment wrapText="1"/>
    </xf>
    <xf numFmtId="164" fontId="0" fillId="0" borderId="12" xfId="2" applyNumberFormat="1" applyFont="1" applyBorder="1" applyAlignment="1">
      <alignment wrapText="1"/>
    </xf>
    <xf numFmtId="166" fontId="0" fillId="0" borderId="15" xfId="1" applyNumberFormat="1" applyFont="1" applyBorder="1" applyProtection="1">
      <protection locked="0"/>
    </xf>
    <xf numFmtId="166" fontId="0" fillId="0" borderId="16" xfId="1" applyNumberFormat="1" applyFont="1" applyBorder="1" applyProtection="1">
      <protection locked="0"/>
    </xf>
    <xf numFmtId="166" fontId="0" fillId="0" borderId="29" xfId="1" applyNumberFormat="1" applyFont="1" applyBorder="1" applyProtection="1">
      <protection locked="0"/>
    </xf>
    <xf numFmtId="165" fontId="0" fillId="0" borderId="14" xfId="3" applyNumberFormat="1" applyFont="1" applyBorder="1"/>
    <xf numFmtId="165" fontId="0" fillId="0" borderId="13" xfId="3" applyNumberFormat="1" applyFont="1" applyBorder="1"/>
    <xf numFmtId="166" fontId="0" fillId="0" borderId="19" xfId="1" applyNumberFormat="1" applyFont="1" applyBorder="1" applyProtection="1">
      <protection locked="0"/>
    </xf>
    <xf numFmtId="166" fontId="0" fillId="0" borderId="20" xfId="1" applyNumberFormat="1" applyFont="1" applyBorder="1" applyProtection="1">
      <protection locked="0"/>
    </xf>
    <xf numFmtId="166" fontId="2" fillId="0" borderId="23" xfId="1" applyNumberFormat="1" applyFont="1" applyBorder="1"/>
    <xf numFmtId="166" fontId="2" fillId="0" borderId="24" xfId="1" applyNumberFormat="1" applyFont="1" applyBorder="1"/>
    <xf numFmtId="9" fontId="2" fillId="0" borderId="25" xfId="0" applyNumberFormat="1" applyFont="1" applyBorder="1"/>
    <xf numFmtId="164" fontId="2" fillId="0" borderId="25" xfId="2" applyNumberFormat="1" applyFont="1" applyBorder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164" fontId="0" fillId="0" borderId="28" xfId="0" applyNumberFormat="1" applyBorder="1"/>
    <xf numFmtId="164" fontId="0" fillId="4" borderId="33" xfId="2" applyNumberFormat="1" applyFont="1" applyFill="1" applyBorder="1"/>
    <xf numFmtId="164" fontId="0" fillId="0" borderId="13" xfId="0" applyNumberFormat="1" applyBorder="1"/>
    <xf numFmtId="164" fontId="0" fillId="4" borderId="34" xfId="2" applyNumberFormat="1" applyFont="1" applyFill="1" applyBorder="1"/>
    <xf numFmtId="164" fontId="0" fillId="0" borderId="17" xfId="0" applyNumberFormat="1" applyBorder="1"/>
    <xf numFmtId="165" fontId="0" fillId="0" borderId="18" xfId="3" applyNumberFormat="1" applyFont="1" applyBorder="1"/>
    <xf numFmtId="164" fontId="0" fillId="4" borderId="35" xfId="2" applyNumberFormat="1" applyFont="1" applyFill="1" applyBorder="1"/>
    <xf numFmtId="164" fontId="2" fillId="0" borderId="23" xfId="0" applyNumberFormat="1" applyFont="1" applyBorder="1"/>
    <xf numFmtId="9" fontId="2" fillId="0" borderId="25" xfId="3" applyNumberFormat="1" applyFont="1" applyBorder="1"/>
    <xf numFmtId="164" fontId="2" fillId="4" borderId="7" xfId="2" applyNumberFormat="1" applyFont="1" applyFill="1" applyBorder="1"/>
    <xf numFmtId="44" fontId="0" fillId="0" borderId="0" xfId="0" applyNumberFormat="1"/>
    <xf numFmtId="164" fontId="6" fillId="0" borderId="16" xfId="0" applyNumberFormat="1" applyFont="1" applyBorder="1"/>
    <xf numFmtId="164" fontId="0" fillId="0" borderId="18" xfId="2" applyNumberFormat="1" applyFont="1" applyBorder="1"/>
    <xf numFmtId="43" fontId="2" fillId="0" borderId="23" xfId="1" applyFont="1" applyBorder="1"/>
    <xf numFmtId="0" fontId="2" fillId="0" borderId="24" xfId="0" applyFont="1" applyBorder="1"/>
    <xf numFmtId="0" fontId="2" fillId="0" borderId="0" xfId="0" applyFont="1"/>
    <xf numFmtId="0" fontId="2" fillId="3" borderId="3" xfId="0" applyFont="1" applyFill="1" applyBorder="1" applyAlignment="1"/>
    <xf numFmtId="164" fontId="3" fillId="0" borderId="28" xfId="0" applyNumberFormat="1" applyFont="1" applyBorder="1"/>
    <xf numFmtId="164" fontId="3" fillId="0" borderId="12" xfId="2" applyNumberFormat="1" applyFont="1" applyBorder="1"/>
    <xf numFmtId="164" fontId="3" fillId="0" borderId="13" xfId="0" applyNumberFormat="1" applyFont="1" applyBorder="1"/>
    <xf numFmtId="164" fontId="3" fillId="0" borderId="14" xfId="2" applyNumberFormat="1" applyFont="1" applyBorder="1"/>
    <xf numFmtId="164" fontId="6" fillId="0" borderId="13" xfId="0" applyNumberFormat="1" applyFont="1" applyBorder="1"/>
    <xf numFmtId="164" fontId="3" fillId="0" borderId="37" xfId="2" applyNumberFormat="1" applyFont="1" applyBorder="1"/>
    <xf numFmtId="164" fontId="0" fillId="0" borderId="37" xfId="2" applyNumberFormat="1" applyFont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/>
    <xf numFmtId="164" fontId="6" fillId="0" borderId="28" xfId="0" applyNumberFormat="1" applyFont="1" applyBorder="1"/>
    <xf numFmtId="164" fontId="6" fillId="0" borderId="11" xfId="0" applyNumberFormat="1" applyFont="1" applyBorder="1"/>
    <xf numFmtId="164" fontId="6" fillId="0" borderId="12" xfId="2" applyNumberFormat="1" applyFont="1" applyBorder="1"/>
    <xf numFmtId="164" fontId="6" fillId="0" borderId="14" xfId="2" applyNumberFormat="1" applyFont="1" applyBorder="1"/>
    <xf numFmtId="164" fontId="3" fillId="0" borderId="13" xfId="1" applyNumberFormat="1" applyFont="1" applyBorder="1"/>
    <xf numFmtId="44" fontId="2" fillId="3" borderId="13" xfId="2" applyFont="1" applyFill="1" applyBorder="1" applyAlignment="1">
      <alignment horizontal="left" vertical="center"/>
    </xf>
    <xf numFmtId="44" fontId="2" fillId="3" borderId="14" xfId="2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4" fontId="2" fillId="3" borderId="8" xfId="2" applyFont="1" applyFill="1" applyBorder="1" applyAlignment="1">
      <alignment horizontal="left" vertical="center"/>
    </xf>
    <xf numFmtId="44" fontId="2" fillId="3" borderId="9" xfId="2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4" fontId="2" fillId="3" borderId="17" xfId="2" applyFont="1" applyFill="1" applyBorder="1" applyAlignment="1">
      <alignment horizontal="left" vertical="center"/>
    </xf>
    <xf numFmtId="44" fontId="2" fillId="3" borderId="18" xfId="2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4" fontId="2" fillId="2" borderId="13" xfId="2" applyFont="1" applyFill="1" applyBorder="1" applyAlignment="1">
      <alignment horizontal="left" vertical="center"/>
    </xf>
    <xf numFmtId="44" fontId="2" fillId="2" borderId="14" xfId="2" applyFont="1" applyFill="1" applyBorder="1" applyAlignment="1">
      <alignment horizontal="left" vertical="center"/>
    </xf>
    <xf numFmtId="44" fontId="2" fillId="2" borderId="8" xfId="2" applyFont="1" applyFill="1" applyBorder="1" applyAlignment="1">
      <alignment horizontal="left" vertical="center"/>
    </xf>
    <xf numFmtId="44" fontId="2" fillId="2" borderId="9" xfId="2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4" fontId="2" fillId="2" borderId="17" xfId="2" applyFont="1" applyFill="1" applyBorder="1" applyAlignment="1">
      <alignment horizontal="left" vertical="center"/>
    </xf>
    <xf numFmtId="44" fontId="2" fillId="2" borderId="18" xfId="2" applyFont="1" applyFill="1" applyBorder="1" applyAlignment="1">
      <alignment horizontal="left" vertical="center"/>
    </xf>
  </cellXfs>
  <cellStyles count="13">
    <cellStyle name="Comma" xfId="1" builtinId="3"/>
    <cellStyle name="Comma 2" xfId="4"/>
    <cellStyle name="Comma 2 2" xfId="5"/>
    <cellStyle name="Currency" xfId="2" builtinId="4"/>
    <cellStyle name="Currency 2" xfId="6"/>
    <cellStyle name="Currency 3" xfId="7"/>
    <cellStyle name="Normal" xfId="0" builtinId="0"/>
    <cellStyle name="Normal 2" xfId="8"/>
    <cellStyle name="Normal 3" xfId="9"/>
    <cellStyle name="Percent" xfId="3" builtinId="5"/>
    <cellStyle name="Percent 2" xfId="10"/>
    <cellStyle name="Percent 2 2" xfId="11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kamimura\AppData\Local\Microsoft\Windows\Temporary%20Internet%20Files\Content.Outlook\T2TWNY60\WIA%20PY%2012%20Allocations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llocations"/>
      <sheetName val="Youth Allocation by WDA"/>
      <sheetName val="Youth Allocation Summary"/>
      <sheetName val="Youth Allocation by County"/>
      <sheetName val="Adult Allocation by WDA"/>
      <sheetName val="Adult Allocation by WDA - July"/>
      <sheetName val="Adult Allocation by WDA - Oct"/>
      <sheetName val="Adult Allocation Summary"/>
      <sheetName val="Adult Allocation by County"/>
      <sheetName val="DW Allocation by WDA - No Mit."/>
      <sheetName val="DW Alloc. by WDA - Mitigation 1"/>
      <sheetName val="DW Alloc. by WDA - Mitigation 2"/>
      <sheetName val="DW Alloc. by WDA - Mitigation 3"/>
      <sheetName val="DW Alloc. by WDA - Mitigation 4"/>
      <sheetName val="DW Alloc. by WDA - July"/>
      <sheetName val="DW Alloc. by WDA - Oct No Mit."/>
      <sheetName val="DW Alloc. by WDA - Oct Mit."/>
      <sheetName val="DW Allocation Summary - No Mit."/>
      <sheetName val="DW Allocation Summary - Mit."/>
      <sheetName val="DW Allocation by County-No Mit."/>
      <sheetName val="DW Allocation by County - Mit."/>
      <sheetName val="Allocation Comp. to Prior Year "/>
      <sheetName val="Data Entry"/>
    </sheetNames>
    <sheetDataSet>
      <sheetData sheetId="0">
        <row r="8">
          <cell r="C8">
            <v>14951350.800000001</v>
          </cell>
          <cell r="E8">
            <v>13810606</v>
          </cell>
        </row>
      </sheetData>
      <sheetData sheetId="1"/>
      <sheetData sheetId="2"/>
      <sheetData sheetId="3"/>
      <sheetData sheetId="4"/>
      <sheetData sheetId="5">
        <row r="38">
          <cell r="C38">
            <v>50542.288134169816</v>
          </cell>
        </row>
        <row r="39">
          <cell r="C39">
            <v>85038.509427523808</v>
          </cell>
        </row>
        <row r="40">
          <cell r="C40">
            <v>63396.010806875034</v>
          </cell>
        </row>
        <row r="41">
          <cell r="C41">
            <v>110919.71474949222</v>
          </cell>
        </row>
        <row r="42">
          <cell r="C42">
            <v>288889.07719082513</v>
          </cell>
        </row>
        <row r="43">
          <cell r="C43">
            <v>137307.38524728877</v>
          </cell>
        </row>
        <row r="44">
          <cell r="C44">
            <v>110031.3070084932</v>
          </cell>
        </row>
        <row r="45">
          <cell r="C45">
            <v>55888.637889981153</v>
          </cell>
        </row>
        <row r="46">
          <cell r="C46">
            <v>77463.756362382803</v>
          </cell>
        </row>
        <row r="47">
          <cell r="C47">
            <v>37290.228176020551</v>
          </cell>
        </row>
        <row r="48">
          <cell r="C48">
            <v>42188.65819975936</v>
          </cell>
        </row>
        <row r="49">
          <cell r="C49">
            <v>81789.358229105448</v>
          </cell>
        </row>
      </sheetData>
      <sheetData sheetId="6">
        <row r="38">
          <cell r="C38">
            <v>611898.22199265391</v>
          </cell>
        </row>
        <row r="39">
          <cell r="C39">
            <v>1029532.1923599775</v>
          </cell>
        </row>
        <row r="40">
          <cell r="C40">
            <v>767513.85258576972</v>
          </cell>
        </row>
        <row r="41">
          <cell r="C41">
            <v>1342867.1055294087</v>
          </cell>
        </row>
        <row r="42">
          <cell r="C42">
            <v>3497481.3990485715</v>
          </cell>
        </row>
        <row r="43">
          <cell r="C43">
            <v>1662333.6214964604</v>
          </cell>
        </row>
        <row r="44">
          <cell r="C44">
            <v>1332111.4563237776</v>
          </cell>
        </row>
        <row r="45">
          <cell r="C45">
            <v>676629.96163243614</v>
          </cell>
        </row>
        <row r="46">
          <cell r="C46">
            <v>937820.52102210955</v>
          </cell>
        </row>
        <row r="47">
          <cell r="C47">
            <v>451460.05801257817</v>
          </cell>
        </row>
        <row r="48">
          <cell r="C48">
            <v>510761.54111133865</v>
          </cell>
        </row>
        <row r="49">
          <cell r="C49">
            <v>990195.82853391371</v>
          </cell>
        </row>
      </sheetData>
      <sheetData sheetId="7">
        <row r="36">
          <cell r="E36">
            <v>662440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str">
            <v>PY 2012</v>
          </cell>
        </row>
        <row r="106">
          <cell r="C106">
            <v>4.3744737328112134E-2</v>
          </cell>
          <cell r="E106">
            <v>4.0454964648017212E-2</v>
          </cell>
          <cell r="G106">
            <v>5.1218023417124468E-2</v>
          </cell>
        </row>
        <row r="107">
          <cell r="C107">
            <v>7.0617622477438982E-2</v>
          </cell>
          <cell r="E107">
            <v>7.7048877958807258E-2</v>
          </cell>
          <cell r="G107">
            <v>8.0170356805948612E-2</v>
          </cell>
        </row>
        <row r="108">
          <cell r="C108">
            <v>5.6591134608582422E-2</v>
          </cell>
          <cell r="E108">
            <v>5.5007685213648939E-2</v>
          </cell>
          <cell r="G108">
            <v>5.8251484379335222E-2</v>
          </cell>
        </row>
        <row r="109">
          <cell r="C109">
            <v>0.11185192836818826</v>
          </cell>
          <cell r="E109">
            <v>0.1130710113741162</v>
          </cell>
          <cell r="G109">
            <v>7.2221297375284391E-2</v>
          </cell>
        </row>
        <row r="110">
          <cell r="C110">
            <v>0.2804014186128771</v>
          </cell>
          <cell r="E110">
            <v>0.24487549953888718</v>
          </cell>
          <cell r="G110">
            <v>0.24869596581765718</v>
          </cell>
        </row>
        <row r="111">
          <cell r="C111">
            <v>0.11874778928653038</v>
          </cell>
          <cell r="E111">
            <v>0.12609898555179835</v>
          </cell>
          <cell r="G111">
            <v>0.12302313967038456</v>
          </cell>
        </row>
        <row r="112">
          <cell r="C112">
            <v>0.10032961150916996</v>
          </cell>
          <cell r="E112">
            <v>0.12542883492161083</v>
          </cell>
          <cell r="G112">
            <v>6.9002830031629769E-2</v>
          </cell>
        </row>
        <row r="113">
          <cell r="C113">
            <v>3.8520410558837065E-2</v>
          </cell>
          <cell r="E113">
            <v>3.8647402397786655E-2</v>
          </cell>
          <cell r="G113">
            <v>5.5310471117030129E-2</v>
          </cell>
        </row>
        <row r="114">
          <cell r="C114">
            <v>5.0721983804273993E-2</v>
          </cell>
          <cell r="E114">
            <v>5.4866277282508452E-2</v>
          </cell>
          <cell r="G114">
            <v>7.8020087675489708E-2</v>
          </cell>
        </row>
        <row r="115">
          <cell r="C115">
            <v>2.6951140493384294E-2</v>
          </cell>
          <cell r="E115">
            <v>2.6246541653857976E-2</v>
          </cell>
          <cell r="G115">
            <v>4.6723267299261975E-2</v>
          </cell>
        </row>
        <row r="116">
          <cell r="C116">
            <v>3.3333646354709562E-2</v>
          </cell>
          <cell r="E116">
            <v>2.8226252689824777E-2</v>
          </cell>
          <cell r="G116">
            <v>3.6443593585261641E-2</v>
          </cell>
        </row>
        <row r="117">
          <cell r="C117">
            <v>6.8188576597895872E-2</v>
          </cell>
          <cell r="E117">
            <v>7.0027666769136188E-2</v>
          </cell>
          <cell r="G117">
            <v>8.0919482825592359E-2</v>
          </cell>
        </row>
        <row r="124">
          <cell r="D124">
            <v>3.8128620885824679E-2</v>
          </cell>
          <cell r="F124">
            <v>5.3569280225715749E-2</v>
          </cell>
          <cell r="G124">
            <v>61108.877857228072</v>
          </cell>
        </row>
        <row r="125">
          <cell r="D125">
            <v>7.2101641258128332E-2</v>
          </cell>
          <cell r="F125">
            <v>0.10005869830125962</v>
          </cell>
          <cell r="G125">
            <v>114141.43978193075</v>
          </cell>
        </row>
        <row r="126">
          <cell r="D126">
            <v>4.5802496661834086E-2</v>
          </cell>
          <cell r="F126">
            <v>6.9513022689742909E-2</v>
          </cell>
          <cell r="G126">
            <v>79296.619165606244</v>
          </cell>
        </row>
        <row r="127">
          <cell r="D127">
            <v>8.4729838736589527E-2</v>
          </cell>
          <cell r="F127">
            <v>0.12677429768348086</v>
          </cell>
          <cell r="G127">
            <v>144617.12085608285</v>
          </cell>
        </row>
        <row r="128">
          <cell r="D128">
            <v>0.21693979496190077</v>
          </cell>
          <cell r="F128">
            <v>0.32722394022326889</v>
          </cell>
          <cell r="G128">
            <v>373279.00824520487</v>
          </cell>
        </row>
        <row r="129">
          <cell r="D129">
            <v>0.10150739271467563</v>
          </cell>
          <cell r="F129">
            <v>0.1470420949535074</v>
          </cell>
          <cell r="G129">
            <v>167737.5051993198</v>
          </cell>
        </row>
        <row r="130">
          <cell r="D130">
            <v>9.1878326134679084E-2</v>
          </cell>
          <cell r="F130">
            <v>0.12829278550018403</v>
          </cell>
          <cell r="G130">
            <v>146349.32793685034</v>
          </cell>
        </row>
        <row r="131">
          <cell r="D131">
            <v>4.8993457909400281E-2</v>
          </cell>
          <cell r="F131">
            <v>6.8285335182711918E-2</v>
          </cell>
          <cell r="G131">
            <v>77896.141025935678</v>
          </cell>
        </row>
        <row r="132">
          <cell r="D132">
            <v>6.7905958062508792E-2</v>
          </cell>
          <cell r="F132">
            <v>9.3889274736136494E-2</v>
          </cell>
          <cell r="G132">
            <v>107103.70193101908</v>
          </cell>
        </row>
        <row r="133">
          <cell r="D133">
            <v>3.2097733617444196E-2</v>
          </cell>
          <cell r="F133">
            <v>4.4566349005949898E-2</v>
          </cell>
          <cell r="G133">
            <v>50838.830883522518</v>
          </cell>
        </row>
        <row r="134">
          <cell r="D134">
            <v>3.6983311374475504E-2</v>
          </cell>
          <cell r="F134">
            <v>5.1463992304040355E-2</v>
          </cell>
          <cell r="G134">
            <v>58707.281608074059</v>
          </cell>
        </row>
        <row r="135">
          <cell r="D135">
            <v>6.2931449689873839E-2</v>
          </cell>
          <cell r="F135">
            <v>8.9320979770746656E-2</v>
          </cell>
          <cell r="G135">
            <v>101892.44320438444</v>
          </cell>
        </row>
        <row r="140">
          <cell r="E140">
            <v>526577.72436676256</v>
          </cell>
        </row>
        <row r="141">
          <cell r="E141">
            <v>995767.40680545615</v>
          </cell>
        </row>
        <row r="142">
          <cell r="E142">
            <v>632560.25774355244</v>
          </cell>
        </row>
        <row r="143">
          <cell r="E143">
            <v>1170170.4597620848</v>
          </cell>
        </row>
        <row r="144">
          <cell r="E144">
            <v>2996070.2356737489</v>
          </cell>
        </row>
        <row r="145">
          <cell r="E145">
            <v>1401878.6545397779</v>
          </cell>
        </row>
        <row r="146">
          <cell r="E146">
            <v>1268895.7356213038</v>
          </cell>
        </row>
        <row r="147">
          <cell r="E147">
            <v>676629.71088920988</v>
          </cell>
        </row>
        <row r="148">
          <cell r="E148">
            <v>937820.90301720577</v>
          </cell>
        </row>
        <row r="149">
          <cell r="E149">
            <v>443291.17373780918</v>
          </cell>
        </row>
        <row r="150">
          <cell r="E150">
            <v>510761.65021047421</v>
          </cell>
        </row>
        <row r="151">
          <cell r="E151">
            <v>869121.32153956487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52"/>
  <sheetViews>
    <sheetView view="pageLayout" topLeftCell="A28" zoomScaleNormal="100" workbookViewId="0">
      <selection activeCell="C11" sqref="C11"/>
    </sheetView>
  </sheetViews>
  <sheetFormatPr defaultRowHeight="14.4" x14ac:dyDescent="0.3"/>
  <cols>
    <col min="3" max="3" width="13.88671875" customWidth="1"/>
    <col min="4" max="4" width="14.33203125" customWidth="1"/>
    <col min="5" max="5" width="14.5546875" customWidth="1"/>
    <col min="6" max="6" width="15.33203125" bestFit="1" customWidth="1"/>
    <col min="7" max="7" width="13" customWidth="1"/>
    <col min="8" max="8" width="14.33203125" customWidth="1"/>
    <col min="9" max="9" width="12.88671875" customWidth="1"/>
    <col min="10" max="10" width="12.6640625" customWidth="1"/>
  </cols>
  <sheetData>
    <row r="1" spans="1:10" ht="20.25" customHeight="1" x14ac:dyDescent="0.3">
      <c r="A1" s="96" t="s">
        <v>0</v>
      </c>
      <c r="B1" s="96"/>
      <c r="C1" s="1" t="str">
        <f>'[1]Data Entry'!B1</f>
        <v>PY 2012</v>
      </c>
      <c r="D1" s="2"/>
      <c r="E1" s="1" t="s">
        <v>1</v>
      </c>
      <c r="F1" s="3">
        <f>'[1]Planning Allocations'!C8</f>
        <v>14951350.800000001</v>
      </c>
      <c r="G1" s="2"/>
      <c r="H1" s="4"/>
      <c r="I1" s="4"/>
      <c r="J1" s="4"/>
    </row>
    <row r="2" spans="1:10" ht="10.5" customHeight="1" thickBot="1" x14ac:dyDescent="0.35"/>
    <row r="3" spans="1:10" x14ac:dyDescent="0.3">
      <c r="A3" s="5"/>
      <c r="B3" s="6"/>
      <c r="C3" s="97" t="s">
        <v>2</v>
      </c>
      <c r="D3" s="97"/>
      <c r="E3" s="98" t="s">
        <v>3</v>
      </c>
      <c r="F3" s="98" t="s">
        <v>4</v>
      </c>
      <c r="G3" s="104" t="s">
        <v>5</v>
      </c>
      <c r="H3" s="104" t="s">
        <v>6</v>
      </c>
      <c r="I3" s="98" t="s">
        <v>7</v>
      </c>
      <c r="J3" s="100" t="s">
        <v>8</v>
      </c>
    </row>
    <row r="4" spans="1:10" ht="15" thickBot="1" x14ac:dyDescent="0.35">
      <c r="A4" s="7"/>
      <c r="B4" s="8"/>
      <c r="C4" s="9" t="s">
        <v>9</v>
      </c>
      <c r="D4" s="9" t="s">
        <v>10</v>
      </c>
      <c r="E4" s="99"/>
      <c r="F4" s="99"/>
      <c r="G4" s="105"/>
      <c r="H4" s="105"/>
      <c r="I4" s="99"/>
      <c r="J4" s="101"/>
    </row>
    <row r="5" spans="1:10" x14ac:dyDescent="0.3">
      <c r="A5" s="102" t="s">
        <v>11</v>
      </c>
      <c r="B5" s="103"/>
      <c r="C5" s="10">
        <f>('[1]Data Entry'!C106+'[1]Data Entry'!E106+'[1]Data Entry'!G106)/3</f>
        <v>4.5139241797751271E-2</v>
      </c>
      <c r="D5" s="11">
        <f>C5*$F$1</f>
        <v>674892.63896420191</v>
      </c>
      <c r="E5" s="12">
        <f>'[1]Data Entry'!D124</f>
        <v>3.8128620885824679E-2</v>
      </c>
      <c r="F5" s="13">
        <f>E5*F1</f>
        <v>570074.38638417155</v>
      </c>
      <c r="G5" s="14">
        <f>D5-F5</f>
        <v>104818.25258003036</v>
      </c>
      <c r="H5" s="15">
        <f>J21</f>
        <v>-12452.205197902522</v>
      </c>
      <c r="I5" s="12">
        <f>'[1]Data Entry'!F124</f>
        <v>5.3569280225715749E-2</v>
      </c>
      <c r="J5" s="16">
        <f>I5*F1</f>
        <v>800933.10075817932</v>
      </c>
    </row>
    <row r="6" spans="1:10" x14ac:dyDescent="0.3">
      <c r="A6" s="94" t="s">
        <v>12</v>
      </c>
      <c r="B6" s="95"/>
      <c r="C6" s="17">
        <f>('[1]Data Entry'!C107+'[1]Data Entry'!E107+'[1]Data Entry'!G107)/3</f>
        <v>7.5945619080731622E-2</v>
      </c>
      <c r="D6" s="18">
        <f t="shared" ref="D6:D16" si="0">C6*$F$1</f>
        <v>1135489.5925991922</v>
      </c>
      <c r="E6" s="19">
        <f>'[1]Data Entry'!D125</f>
        <v>7.2101641258128332E-2</v>
      </c>
      <c r="F6" s="18">
        <f>E6*$F$1</f>
        <v>1078016.9317060302</v>
      </c>
      <c r="G6" s="20">
        <f>D6-F6</f>
        <v>57472.660893162014</v>
      </c>
      <c r="H6" s="21">
        <f>J22</f>
        <v>-20919.019093167124</v>
      </c>
      <c r="I6" s="19">
        <f>'[1]Data Entry'!F125</f>
        <v>0.10005869830125962</v>
      </c>
      <c r="J6" s="22">
        <f>I6*F1</f>
        <v>1496012.6988934968</v>
      </c>
    </row>
    <row r="7" spans="1:10" x14ac:dyDescent="0.3">
      <c r="A7" s="94" t="s">
        <v>13</v>
      </c>
      <c r="B7" s="95"/>
      <c r="C7" s="17">
        <f>('[1]Data Entry'!C108+'[1]Data Entry'!E108+'[1]Data Entry'!G108)/3</f>
        <v>5.6616768067188857E-2</v>
      </c>
      <c r="D7" s="18">
        <f t="shared" si="0"/>
        <v>846497.16053477861</v>
      </c>
      <c r="E7" s="19">
        <f>'[1]Data Entry'!D126</f>
        <v>4.5802496661834086E-2</v>
      </c>
      <c r="F7" s="18">
        <f t="shared" ref="F7:F16" si="1">E7*$F$1</f>
        <v>684809.19510691043</v>
      </c>
      <c r="G7" s="20">
        <f t="shared" ref="G7:G16" si="2">D7-F7</f>
        <v>161687.96542786818</v>
      </c>
      <c r="H7" s="21">
        <f t="shared" ref="H7:H16" si="3">J23</f>
        <v>-15587.392728535067</v>
      </c>
      <c r="I7" s="19">
        <f>'[1]Data Entry'!F126</f>
        <v>6.9513022689742909E-2</v>
      </c>
      <c r="J7" s="22">
        <f>I7*$F$1</f>
        <v>1039313.5874027058</v>
      </c>
    </row>
    <row r="8" spans="1:10" x14ac:dyDescent="0.3">
      <c r="A8" s="94" t="s">
        <v>14</v>
      </c>
      <c r="B8" s="95"/>
      <c r="C8" s="17">
        <f>('[1]Data Entry'!C109+'[1]Data Entry'!E109+'[1]Data Entry'!G109)/3</f>
        <v>9.9048079039196282E-2</v>
      </c>
      <c r="D8" s="18">
        <f t="shared" si="0"/>
        <v>1480902.5757811507</v>
      </c>
      <c r="E8" s="19">
        <f>'[1]Data Entry'!D127</f>
        <v>8.4729838736589527E-2</v>
      </c>
      <c r="F8" s="18">
        <f t="shared" si="1"/>
        <v>1266825.5421781789</v>
      </c>
      <c r="G8" s="20">
        <f t="shared" si="2"/>
        <v>214077.03360297182</v>
      </c>
      <c r="H8" s="21">
        <f t="shared" si="3"/>
        <v>-27115.921784926089</v>
      </c>
      <c r="I8" s="19">
        <f>'[1]Data Entry'!F127</f>
        <v>0.12677429768348086</v>
      </c>
      <c r="J8" s="22">
        <f t="shared" ref="J8:J16" si="4">I8*$F$1</f>
        <v>1895446.9970893499</v>
      </c>
    </row>
    <row r="9" spans="1:10" x14ac:dyDescent="0.3">
      <c r="A9" s="94" t="s">
        <v>15</v>
      </c>
      <c r="B9" s="95"/>
      <c r="C9" s="17">
        <f>('[1]Data Entry'!C110+'[1]Data Entry'!E110+'[1]Data Entry'!G110)/3</f>
        <v>0.25799096132314048</v>
      </c>
      <c r="D9" s="18">
        <f t="shared" si="0"/>
        <v>3857313.3659715056</v>
      </c>
      <c r="E9" s="19">
        <f>'[1]Data Entry'!D128</f>
        <v>0.21693979496190077</v>
      </c>
      <c r="F9" s="18">
        <f t="shared" si="1"/>
        <v>3243542.9769554511</v>
      </c>
      <c r="G9" s="20">
        <f t="shared" si="2"/>
        <v>613770.38901605457</v>
      </c>
      <c r="H9" s="21">
        <f t="shared" si="3"/>
        <v>-70943.324777098314</v>
      </c>
      <c r="I9" s="19">
        <f>'[1]Data Entry'!F128</f>
        <v>0.32722394022326889</v>
      </c>
      <c r="J9" s="22">
        <f t="shared" si="4"/>
        <v>4892439.9204363236</v>
      </c>
    </row>
    <row r="10" spans="1:10" x14ac:dyDescent="0.3">
      <c r="A10" s="94" t="s">
        <v>16</v>
      </c>
      <c r="B10" s="95"/>
      <c r="C10" s="17">
        <f>('[1]Data Entry'!C111+'[1]Data Entry'!E111+'[1]Data Entry'!G111)/3</f>
        <v>0.12262330483623778</v>
      </c>
      <c r="D10" s="18">
        <f t="shared" si="0"/>
        <v>1833384.0468619277</v>
      </c>
      <c r="E10" s="19">
        <f>'[1]Data Entry'!D129</f>
        <v>0.10150739271467563</v>
      </c>
      <c r="F10" s="18">
        <f t="shared" si="1"/>
        <v>1517672.6372704797</v>
      </c>
      <c r="G10" s="20">
        <f t="shared" si="2"/>
        <v>315711.40959144803</v>
      </c>
      <c r="H10" s="21">
        <f t="shared" si="3"/>
        <v>-33743.247041530252</v>
      </c>
      <c r="I10" s="19">
        <f>'[1]Data Entry'!F129</f>
        <v>0.1470420949535074</v>
      </c>
      <c r="J10" s="22">
        <f t="shared" si="4"/>
        <v>2198477.9440167989</v>
      </c>
    </row>
    <row r="11" spans="1:10" x14ac:dyDescent="0.3">
      <c r="A11" s="94" t="s">
        <v>17</v>
      </c>
      <c r="B11" s="95"/>
      <c r="C11" s="17">
        <f>('[1]Data Entry'!C112+'[1]Data Entry'!E112+'[1]Data Entry'!G112)/3</f>
        <v>9.8253758820803519E-2</v>
      </c>
      <c r="D11" s="18">
        <f t="shared" si="0"/>
        <v>1469026.4155484277</v>
      </c>
      <c r="E11" s="19">
        <f>'[1]Data Entry'!D130</f>
        <v>9.1878326134679084E-2</v>
      </c>
      <c r="F11" s="18">
        <f t="shared" si="1"/>
        <v>1373705.0849563952</v>
      </c>
      <c r="G11" s="20">
        <f t="shared" si="2"/>
        <v>95321.330592032522</v>
      </c>
      <c r="H11" s="21">
        <f t="shared" si="3"/>
        <v>-26883.817075499966</v>
      </c>
      <c r="I11" s="19">
        <f>'[1]Data Entry'!F130</f>
        <v>0.12829278550018403</v>
      </c>
      <c r="J11" s="22">
        <f t="shared" si="4"/>
        <v>1918150.441122405</v>
      </c>
    </row>
    <row r="12" spans="1:10" x14ac:dyDescent="0.3">
      <c r="A12" s="94" t="s">
        <v>18</v>
      </c>
      <c r="B12" s="95"/>
      <c r="C12" s="17">
        <f>('[1]Data Entry'!C113+'[1]Data Entry'!E113+'[1]Data Entry'!G113)/3</f>
        <v>4.4159428024551285E-2</v>
      </c>
      <c r="D12" s="18">
        <f t="shared" si="0"/>
        <v>660243.09952241729</v>
      </c>
      <c r="E12" s="19">
        <f>'[1]Data Entry'!D131</f>
        <v>4.8993457909400281E-2</v>
      </c>
      <c r="F12" s="18">
        <f t="shared" si="1"/>
        <v>732518.37610847829</v>
      </c>
      <c r="G12" s="20">
        <f t="shared" si="2"/>
        <v>-72275.276586060994</v>
      </c>
      <c r="H12" s="21">
        <v>72275</v>
      </c>
      <c r="I12" s="19">
        <f>'[1]Data Entry'!F131</f>
        <v>6.8285335182711918E-2</v>
      </c>
      <c r="J12" s="22">
        <f t="shared" si="4"/>
        <v>1020958.000812308</v>
      </c>
    </row>
    <row r="13" spans="1:10" x14ac:dyDescent="0.3">
      <c r="A13" s="94" t="s">
        <v>19</v>
      </c>
      <c r="B13" s="95"/>
      <c r="C13" s="17">
        <f>('[1]Data Entry'!C114+'[1]Data Entry'!E114+'[1]Data Entry'!G114)/3</f>
        <v>6.1202782920757391E-2</v>
      </c>
      <c r="D13" s="18">
        <f t="shared" si="0"/>
        <v>915064.27738449245</v>
      </c>
      <c r="E13" s="19">
        <f>'[1]Data Entry'!D132</f>
        <v>6.7905958062508792E-2</v>
      </c>
      <c r="F13" s="18">
        <f t="shared" si="1"/>
        <v>1015285.8004026574</v>
      </c>
      <c r="G13" s="20">
        <f t="shared" si="2"/>
        <v>-100221.52301816491</v>
      </c>
      <c r="H13" s="21">
        <v>100222</v>
      </c>
      <c r="I13" s="19">
        <f>'[1]Data Entry'!F132</f>
        <v>9.3889274736136494E-2</v>
      </c>
      <c r="J13" s="22">
        <f t="shared" si="4"/>
        <v>1403771.4829375541</v>
      </c>
    </row>
    <row r="14" spans="1:10" x14ac:dyDescent="0.3">
      <c r="A14" s="94" t="s">
        <v>20</v>
      </c>
      <c r="B14" s="95"/>
      <c r="C14" s="17">
        <f>('[1]Data Entry'!C115+'[1]Data Entry'!E115+'[1]Data Entry'!G115)/3</f>
        <v>3.3306983148834748E-2</v>
      </c>
      <c r="D14" s="18">
        <f t="shared" si="0"/>
        <v>497984.38914791698</v>
      </c>
      <c r="E14" s="19">
        <f>'[1]Data Entry'!D133</f>
        <v>3.2097733617444196E-2</v>
      </c>
      <c r="F14" s="18">
        <f t="shared" si="1"/>
        <v>479904.47519936122</v>
      </c>
      <c r="G14" s="20">
        <f t="shared" si="2"/>
        <v>18079.913948555768</v>
      </c>
      <c r="H14" s="21">
        <f t="shared" si="3"/>
        <v>-9234.1595858559413</v>
      </c>
      <c r="I14" s="19">
        <f>'[1]Data Entry'!F133</f>
        <v>4.4566349005949898E-2</v>
      </c>
      <c r="J14" s="22">
        <f t="shared" si="4"/>
        <v>666327.11786318826</v>
      </c>
    </row>
    <row r="15" spans="1:10" x14ac:dyDescent="0.3">
      <c r="A15" s="94" t="s">
        <v>21</v>
      </c>
      <c r="B15" s="95"/>
      <c r="C15" s="17">
        <f>('[1]Data Entry'!C116+'[1]Data Entry'!E116+'[1]Data Entry'!G116)/3</f>
        <v>3.2667830876598657E-2</v>
      </c>
      <c r="D15" s="18">
        <f t="shared" si="0"/>
        <v>488428.19931109803</v>
      </c>
      <c r="E15" s="19">
        <f>'[1]Data Entry'!D134</f>
        <v>3.6983311374475504E-2</v>
      </c>
      <c r="F15" s="18">
        <f t="shared" si="1"/>
        <v>552950.46210541343</v>
      </c>
      <c r="G15" s="20">
        <f t="shared" si="2"/>
        <v>-64522.262794315408</v>
      </c>
      <c r="H15" s="21">
        <v>64522</v>
      </c>
      <c r="I15" s="19">
        <f>'[1]Data Entry'!F134</f>
        <v>5.1463992304040355E-2</v>
      </c>
      <c r="J15" s="22">
        <f t="shared" si="4"/>
        <v>769456.20250620763</v>
      </c>
    </row>
    <row r="16" spans="1:10" ht="15" thickBot="1" x14ac:dyDescent="0.35">
      <c r="A16" s="108" t="s">
        <v>22</v>
      </c>
      <c r="B16" s="109"/>
      <c r="C16" s="23">
        <f>('[1]Data Entry'!C117+'[1]Data Entry'!E117+'[1]Data Entry'!G117)/3</f>
        <v>7.3045242064208135E-2</v>
      </c>
      <c r="D16" s="24">
        <f t="shared" si="0"/>
        <v>1092125.038372892</v>
      </c>
      <c r="E16" s="25">
        <f>'[1]Data Entry'!D135</f>
        <v>6.2931449689873839E-2</v>
      </c>
      <c r="F16" s="18">
        <f t="shared" si="1"/>
        <v>940910.18066585506</v>
      </c>
      <c r="G16" s="20">
        <f t="shared" si="2"/>
        <v>151214.85770703689</v>
      </c>
      <c r="H16" s="21">
        <f t="shared" si="3"/>
        <v>-20139.975114026052</v>
      </c>
      <c r="I16" s="25">
        <f>'[1]Data Entry'!F135</f>
        <v>8.9320979770746656E-2</v>
      </c>
      <c r="J16" s="22">
        <f t="shared" si="4"/>
        <v>1335469.3023521369</v>
      </c>
    </row>
    <row r="17" spans="1:10" ht="15" thickBot="1" x14ac:dyDescent="0.35">
      <c r="A17" s="110" t="s">
        <v>23</v>
      </c>
      <c r="B17" s="111"/>
      <c r="C17" s="26">
        <f t="shared" ref="C17:J17" si="5">SUM(C5:C16)</f>
        <v>1</v>
      </c>
      <c r="D17" s="27">
        <f t="shared" si="5"/>
        <v>14951350.800000001</v>
      </c>
      <c r="E17" s="28">
        <f t="shared" si="5"/>
        <v>0.90000002200733464</v>
      </c>
      <c r="F17" s="27">
        <f t="shared" si="5"/>
        <v>13456216.049039382</v>
      </c>
      <c r="G17" s="27">
        <f t="shared" si="5"/>
        <v>1495134.7509606187</v>
      </c>
      <c r="H17" s="29">
        <f t="shared" si="5"/>
        <v>-6.2398541358561488E-2</v>
      </c>
      <c r="I17" s="28">
        <f t="shared" si="5"/>
        <v>1.3000000505767446</v>
      </c>
      <c r="J17" s="30">
        <f t="shared" si="5"/>
        <v>19436756.796190657</v>
      </c>
    </row>
    <row r="18" spans="1:10" ht="21.75" customHeight="1" thickBot="1" x14ac:dyDescent="0.35"/>
    <row r="19" spans="1:10" ht="15" customHeight="1" x14ac:dyDescent="0.3">
      <c r="A19" s="31"/>
      <c r="B19" s="32"/>
      <c r="C19" s="112" t="s">
        <v>24</v>
      </c>
      <c r="D19" s="113"/>
      <c r="E19" s="113"/>
      <c r="F19" s="113"/>
      <c r="G19" s="113"/>
      <c r="H19" s="113"/>
      <c r="I19" s="106" t="s">
        <v>25</v>
      </c>
      <c r="J19" s="107"/>
    </row>
    <row r="20" spans="1:10" ht="43.8" thickBot="1" x14ac:dyDescent="0.35">
      <c r="A20" s="7"/>
      <c r="B20" s="8"/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  <c r="H20" s="33" t="s">
        <v>31</v>
      </c>
      <c r="I20" s="34" t="s">
        <v>32</v>
      </c>
      <c r="J20" s="35" t="s">
        <v>33</v>
      </c>
    </row>
    <row r="21" spans="1:10" x14ac:dyDescent="0.3">
      <c r="A21" s="102" t="s">
        <v>11</v>
      </c>
      <c r="B21" s="103"/>
      <c r="C21" s="36">
        <v>13975</v>
      </c>
      <c r="D21" s="12">
        <f>C21/C33</f>
        <v>4.9855872825606121E-2</v>
      </c>
      <c r="E21" s="37">
        <v>6580</v>
      </c>
      <c r="F21" s="12">
        <f>E21/$E$33</f>
        <v>4.606262556965747E-2</v>
      </c>
      <c r="G21" s="38">
        <v>18460</v>
      </c>
      <c r="H21" s="39">
        <f>G21/$G$33</f>
        <v>6.1691675299936501E-2</v>
      </c>
      <c r="I21" s="40">
        <f>(D21+F21+H21)/3</f>
        <v>5.2536724565066695E-2</v>
      </c>
      <c r="J21" s="41">
        <f>I21*J33</f>
        <v>-12452.205197902522</v>
      </c>
    </row>
    <row r="22" spans="1:10" x14ac:dyDescent="0.3">
      <c r="A22" s="94" t="s">
        <v>12</v>
      </c>
      <c r="B22" s="95"/>
      <c r="C22" s="42">
        <v>22560</v>
      </c>
      <c r="D22" s="19">
        <f>C22/$C$33</f>
        <v>8.0482897384305835E-2</v>
      </c>
      <c r="E22" s="43">
        <v>12532</v>
      </c>
      <c r="F22" s="19">
        <f>E22/$E$33</f>
        <v>8.7729000553031525E-2</v>
      </c>
      <c r="G22" s="44">
        <v>28895</v>
      </c>
      <c r="H22" s="45">
        <f>G22/$G$33</f>
        <v>9.6564515590014374E-2</v>
      </c>
      <c r="I22" s="46">
        <f>(D22+F22+H22)/3</f>
        <v>8.8258804509117258E-2</v>
      </c>
      <c r="J22" s="22">
        <f>I22*$J$33</f>
        <v>-20919.019093167124</v>
      </c>
    </row>
    <row r="23" spans="1:10" x14ac:dyDescent="0.3">
      <c r="A23" s="94" t="s">
        <v>13</v>
      </c>
      <c r="B23" s="95"/>
      <c r="C23" s="42">
        <v>18079</v>
      </c>
      <c r="D23" s="19">
        <f t="shared" ref="D23:D32" si="6">C23/$C$33</f>
        <v>6.4496910541261748E-2</v>
      </c>
      <c r="E23" s="43">
        <v>8947</v>
      </c>
      <c r="F23" s="19">
        <f t="shared" ref="F23:F32" si="7">E23/$E$33</f>
        <v>6.2632570056493225E-2</v>
      </c>
      <c r="G23" s="44">
        <v>20995</v>
      </c>
      <c r="H23" s="45">
        <f t="shared" ref="H23:H32" si="8">G23/$G$33</f>
        <v>7.0163419443237646E-2</v>
      </c>
      <c r="I23" s="46">
        <f t="shared" ref="I23:I33" si="9">(D23+F23+H23)/3</f>
        <v>6.5764300013664206E-2</v>
      </c>
      <c r="J23" s="22">
        <f t="shared" ref="J23:J32" si="10">I23*$J$33</f>
        <v>-15587.392728535067</v>
      </c>
    </row>
    <row r="24" spans="1:10" x14ac:dyDescent="0.3">
      <c r="A24" s="94" t="s">
        <v>14</v>
      </c>
      <c r="B24" s="95"/>
      <c r="C24" s="42">
        <v>35733</v>
      </c>
      <c r="D24" s="19">
        <f t="shared" si="6"/>
        <v>0.12747763174793442</v>
      </c>
      <c r="E24" s="43">
        <v>18391</v>
      </c>
      <c r="F24" s="19">
        <f t="shared" si="7"/>
        <v>0.12874433842729036</v>
      </c>
      <c r="G24" s="44">
        <v>26030</v>
      </c>
      <c r="H24" s="45">
        <f>G24/$G$33</f>
        <v>8.6989940848176989E-2</v>
      </c>
      <c r="I24" s="46">
        <f t="shared" si="9"/>
        <v>0.11440397034113392</v>
      </c>
      <c r="J24" s="22">
        <f t="shared" si="10"/>
        <v>-27115.921784926089</v>
      </c>
    </row>
    <row r="25" spans="1:10" x14ac:dyDescent="0.3">
      <c r="A25" s="94" t="s">
        <v>15</v>
      </c>
      <c r="B25" s="95"/>
      <c r="C25" s="42">
        <v>89579</v>
      </c>
      <c r="D25" s="19">
        <f t="shared" si="6"/>
        <v>0.31957346918389773</v>
      </c>
      <c r="E25" s="43">
        <v>39829</v>
      </c>
      <c r="F25" s="19">
        <f>E25/$E$33</f>
        <v>0.27881889267688259</v>
      </c>
      <c r="G25" s="44">
        <v>89635</v>
      </c>
      <c r="H25" s="45">
        <f t="shared" si="8"/>
        <v>0.2995521839387762</v>
      </c>
      <c r="I25" s="46">
        <f t="shared" si="9"/>
        <v>0.29931484859985219</v>
      </c>
      <c r="J25" s="22">
        <f t="shared" si="10"/>
        <v>-70943.324777098314</v>
      </c>
    </row>
    <row r="26" spans="1:10" x14ac:dyDescent="0.3">
      <c r="A26" s="94" t="s">
        <v>16</v>
      </c>
      <c r="B26" s="95"/>
      <c r="C26" s="42">
        <v>37936</v>
      </c>
      <c r="D26" s="19">
        <f t="shared" si="6"/>
        <v>0.13533684375758095</v>
      </c>
      <c r="E26" s="43">
        <v>20510</v>
      </c>
      <c r="F26" s="19">
        <f t="shared" si="7"/>
        <v>0.14357818395648553</v>
      </c>
      <c r="G26" s="44">
        <v>44340</v>
      </c>
      <c r="H26" s="45">
        <f t="shared" si="8"/>
        <v>0.14818032951241519</v>
      </c>
      <c r="I26" s="46">
        <f t="shared" si="9"/>
        <v>0.1423651190754939</v>
      </c>
      <c r="J26" s="22">
        <f t="shared" si="10"/>
        <v>-33743.247041530252</v>
      </c>
    </row>
    <row r="27" spans="1:10" x14ac:dyDescent="0.3">
      <c r="A27" s="94" t="s">
        <v>17</v>
      </c>
      <c r="B27" s="95"/>
      <c r="C27" s="42">
        <v>32052</v>
      </c>
      <c r="D27" s="19">
        <f t="shared" si="6"/>
        <v>0.11434564835823452</v>
      </c>
      <c r="E27" s="43">
        <v>20401</v>
      </c>
      <c r="F27" s="19">
        <f t="shared" si="7"/>
        <v>0.14281514046300639</v>
      </c>
      <c r="G27" s="44">
        <v>24870</v>
      </c>
      <c r="H27" s="45">
        <f t="shared" si="8"/>
        <v>8.3113324198776858E-2</v>
      </c>
      <c r="I27" s="46">
        <f t="shared" si="9"/>
        <v>0.11342470434000594</v>
      </c>
      <c r="J27" s="22">
        <f t="shared" si="10"/>
        <v>-26883.817075499966</v>
      </c>
    </row>
    <row r="28" spans="1:10" x14ac:dyDescent="0.3">
      <c r="A28" s="94" t="s">
        <v>18</v>
      </c>
      <c r="B28" s="95"/>
      <c r="C28" s="42"/>
      <c r="D28" s="19">
        <f t="shared" si="6"/>
        <v>0</v>
      </c>
      <c r="E28" s="43"/>
      <c r="F28" s="19">
        <f t="shared" si="7"/>
        <v>0</v>
      </c>
      <c r="G28" s="44"/>
      <c r="H28" s="45">
        <f t="shared" si="8"/>
        <v>0</v>
      </c>
      <c r="I28" s="46">
        <f t="shared" si="9"/>
        <v>0</v>
      </c>
      <c r="J28" s="22">
        <f t="shared" si="10"/>
        <v>0</v>
      </c>
    </row>
    <row r="29" spans="1:10" x14ac:dyDescent="0.3">
      <c r="A29" s="94" t="s">
        <v>19</v>
      </c>
      <c r="B29" s="95"/>
      <c r="C29" s="42"/>
      <c r="D29" s="19">
        <f t="shared" si="6"/>
        <v>0</v>
      </c>
      <c r="E29" s="43"/>
      <c r="F29" s="19">
        <f t="shared" si="7"/>
        <v>0</v>
      </c>
      <c r="G29" s="44"/>
      <c r="H29" s="45">
        <f t="shared" si="8"/>
        <v>0</v>
      </c>
      <c r="I29" s="46">
        <f t="shared" si="9"/>
        <v>0</v>
      </c>
      <c r="J29" s="22">
        <f t="shared" si="10"/>
        <v>0</v>
      </c>
    </row>
    <row r="30" spans="1:10" x14ac:dyDescent="0.3">
      <c r="A30" s="94" t="s">
        <v>20</v>
      </c>
      <c r="B30" s="95"/>
      <c r="C30" s="42">
        <v>8610</v>
      </c>
      <c r="D30" s="19">
        <f t="shared" si="6"/>
        <v>3.071621216661672E-2</v>
      </c>
      <c r="E30" s="43">
        <v>4269</v>
      </c>
      <c r="F30" s="19">
        <f t="shared" si="7"/>
        <v>2.9884703428095401E-2</v>
      </c>
      <c r="G30" s="44">
        <v>16840</v>
      </c>
      <c r="H30" s="45">
        <f t="shared" si="8"/>
        <v>5.6277779634394946E-2</v>
      </c>
      <c r="I30" s="46">
        <f t="shared" si="9"/>
        <v>3.8959565076369024E-2</v>
      </c>
      <c r="J30" s="22">
        <f t="shared" si="10"/>
        <v>-9234.1595858559413</v>
      </c>
    </row>
    <row r="31" spans="1:10" x14ac:dyDescent="0.3">
      <c r="A31" s="94" t="s">
        <v>21</v>
      </c>
      <c r="B31" s="95"/>
      <c r="C31" s="42"/>
      <c r="D31" s="19">
        <f t="shared" si="6"/>
        <v>0</v>
      </c>
      <c r="E31" s="43"/>
      <c r="F31" s="19">
        <f t="shared" si="7"/>
        <v>0</v>
      </c>
      <c r="G31" s="44"/>
      <c r="H31" s="45">
        <f t="shared" si="8"/>
        <v>0</v>
      </c>
      <c r="I31" s="46">
        <f t="shared" si="9"/>
        <v>0</v>
      </c>
      <c r="J31" s="22">
        <f t="shared" si="10"/>
        <v>0</v>
      </c>
    </row>
    <row r="32" spans="1:10" ht="15" thickBot="1" x14ac:dyDescent="0.35">
      <c r="A32" s="108" t="s">
        <v>22</v>
      </c>
      <c r="B32" s="109"/>
      <c r="C32" s="47">
        <v>21784</v>
      </c>
      <c r="D32" s="19">
        <f t="shared" si="6"/>
        <v>7.7714514034561977E-2</v>
      </c>
      <c r="E32" s="48">
        <v>11390</v>
      </c>
      <c r="F32" s="19">
        <f t="shared" si="7"/>
        <v>7.9734544869057539E-2</v>
      </c>
      <c r="G32" s="48">
        <v>29165</v>
      </c>
      <c r="H32" s="45">
        <f t="shared" si="8"/>
        <v>9.7466831534271298E-2</v>
      </c>
      <c r="I32" s="46">
        <f t="shared" si="9"/>
        <v>8.4971963479296933E-2</v>
      </c>
      <c r="J32" s="22">
        <f t="shared" si="10"/>
        <v>-20139.975114026052</v>
      </c>
    </row>
    <row r="33" spans="1:10" ht="15" thickBot="1" x14ac:dyDescent="0.35">
      <c r="A33" s="114" t="s">
        <v>23</v>
      </c>
      <c r="B33" s="115"/>
      <c r="C33" s="49">
        <f t="shared" ref="C33:H33" si="11">SUM(C21:C32)</f>
        <v>280308</v>
      </c>
      <c r="D33" s="28">
        <f t="shared" si="11"/>
        <v>0.99999999999999989</v>
      </c>
      <c r="E33" s="50">
        <f t="shared" si="11"/>
        <v>142849</v>
      </c>
      <c r="F33" s="28">
        <f t="shared" si="11"/>
        <v>1</v>
      </c>
      <c r="G33" s="50">
        <f t="shared" si="11"/>
        <v>299230</v>
      </c>
      <c r="H33" s="51">
        <f t="shared" si="11"/>
        <v>1</v>
      </c>
      <c r="I33" s="26">
        <f t="shared" si="9"/>
        <v>1</v>
      </c>
      <c r="J33" s="52">
        <f>SUM(G12:G13,G15)</f>
        <v>-237019.06239854131</v>
      </c>
    </row>
    <row r="34" spans="1:10" ht="15" thickBot="1" x14ac:dyDescent="0.35"/>
    <row r="35" spans="1:10" ht="18" customHeight="1" x14ac:dyDescent="0.3">
      <c r="A35" s="53"/>
      <c r="B35" s="54"/>
      <c r="C35" s="112" t="s">
        <v>34</v>
      </c>
      <c r="D35" s="116"/>
      <c r="E35" s="55" t="s">
        <v>35</v>
      </c>
    </row>
    <row r="36" spans="1:10" ht="18" customHeight="1" x14ac:dyDescent="0.3">
      <c r="A36" s="7"/>
      <c r="B36" s="8"/>
      <c r="C36" s="117" t="s">
        <v>36</v>
      </c>
      <c r="D36" s="119" t="s">
        <v>37</v>
      </c>
      <c r="E36" s="56" t="s">
        <v>38</v>
      </c>
    </row>
    <row r="37" spans="1:10" ht="18" customHeight="1" thickBot="1" x14ac:dyDescent="0.35">
      <c r="A37" s="7"/>
      <c r="B37" s="8"/>
      <c r="C37" s="118"/>
      <c r="D37" s="120"/>
      <c r="E37" s="57" t="s">
        <v>39</v>
      </c>
    </row>
    <row r="38" spans="1:10" ht="18" customHeight="1" x14ac:dyDescent="0.3">
      <c r="A38" s="102" t="s">
        <v>11</v>
      </c>
      <c r="B38" s="103"/>
      <c r="C38" s="58">
        <f>D5+H5</f>
        <v>662440.43376629939</v>
      </c>
      <c r="D38" s="39">
        <f>C38/F1</f>
        <v>4.4306393624735187E-2</v>
      </c>
      <c r="E38" s="59">
        <f>E5*$F$1</f>
        <v>570074.38638417155</v>
      </c>
    </row>
    <row r="39" spans="1:10" ht="18" customHeight="1" x14ac:dyDescent="0.3">
      <c r="A39" s="94" t="s">
        <v>12</v>
      </c>
      <c r="B39" s="95"/>
      <c r="C39" s="60">
        <f>D6+H6</f>
        <v>1114570.5735060251</v>
      </c>
      <c r="D39" s="45">
        <f>C39/$F$1</f>
        <v>7.4546480008082283E-2</v>
      </c>
      <c r="E39" s="61">
        <f t="shared" ref="E39:E49" si="12">E6*$F$1</f>
        <v>1078016.9317060302</v>
      </c>
    </row>
    <row r="40" spans="1:10" ht="18" customHeight="1" x14ac:dyDescent="0.3">
      <c r="A40" s="94" t="s">
        <v>13</v>
      </c>
      <c r="B40" s="95"/>
      <c r="C40" s="60">
        <f t="shared" ref="C40:C49" si="13">D7+H7</f>
        <v>830909.7678062435</v>
      </c>
      <c r="D40" s="45">
        <f t="shared" ref="D40:D50" si="14">C40/$F$1</f>
        <v>5.5574227300334858E-2</v>
      </c>
      <c r="E40" s="61">
        <f t="shared" si="12"/>
        <v>684809.19510691043</v>
      </c>
    </row>
    <row r="41" spans="1:10" ht="18" customHeight="1" x14ac:dyDescent="0.3">
      <c r="A41" s="94" t="s">
        <v>14</v>
      </c>
      <c r="B41" s="95"/>
      <c r="C41" s="60">
        <f t="shared" si="13"/>
        <v>1453786.6539962245</v>
      </c>
      <c r="D41" s="45">
        <f t="shared" si="14"/>
        <v>9.7234468874626667E-2</v>
      </c>
      <c r="E41" s="61">
        <f t="shared" si="12"/>
        <v>1266825.5421781789</v>
      </c>
    </row>
    <row r="42" spans="1:10" ht="18" customHeight="1" x14ac:dyDescent="0.3">
      <c r="A42" s="94" t="s">
        <v>15</v>
      </c>
      <c r="B42" s="95"/>
      <c r="C42" s="60">
        <f t="shared" si="13"/>
        <v>3786370.0411944073</v>
      </c>
      <c r="D42" s="45">
        <f t="shared" si="14"/>
        <v>0.25324601715548051</v>
      </c>
      <c r="E42" s="61">
        <f t="shared" si="12"/>
        <v>3243542.9769554511</v>
      </c>
    </row>
    <row r="43" spans="1:10" ht="18" customHeight="1" x14ac:dyDescent="0.3">
      <c r="A43" s="94" t="s">
        <v>16</v>
      </c>
      <c r="B43" s="95"/>
      <c r="C43" s="60">
        <f t="shared" si="13"/>
        <v>1799640.7998203975</v>
      </c>
      <c r="D43" s="45">
        <f t="shared" si="14"/>
        <v>0.12036643537387923</v>
      </c>
      <c r="E43" s="61">
        <f t="shared" si="12"/>
        <v>1517672.6372704797</v>
      </c>
    </row>
    <row r="44" spans="1:10" ht="18" customHeight="1" x14ac:dyDescent="0.3">
      <c r="A44" s="94" t="s">
        <v>17</v>
      </c>
      <c r="B44" s="95"/>
      <c r="C44" s="60">
        <f t="shared" si="13"/>
        <v>1442142.5984729277</v>
      </c>
      <c r="D44" s="45">
        <f t="shared" si="14"/>
        <v>9.6455672652194582E-2</v>
      </c>
      <c r="E44" s="61">
        <f t="shared" si="12"/>
        <v>1373705.0849563952</v>
      </c>
    </row>
    <row r="45" spans="1:10" ht="18" customHeight="1" x14ac:dyDescent="0.3">
      <c r="A45" s="94" t="s">
        <v>18</v>
      </c>
      <c r="B45" s="95"/>
      <c r="C45" s="60">
        <f t="shared" si="13"/>
        <v>732518.09952241729</v>
      </c>
      <c r="D45" s="45">
        <f t="shared" si="14"/>
        <v>4.8993439410331893E-2</v>
      </c>
      <c r="E45" s="61">
        <f t="shared" si="12"/>
        <v>732518.37610847829</v>
      </c>
    </row>
    <row r="46" spans="1:10" ht="18" customHeight="1" x14ac:dyDescent="0.3">
      <c r="A46" s="94" t="s">
        <v>19</v>
      </c>
      <c r="B46" s="95"/>
      <c r="C46" s="60">
        <f t="shared" si="13"/>
        <v>1015286.2773844925</v>
      </c>
      <c r="D46" s="45">
        <f t="shared" si="14"/>
        <v>6.7905989964765753E-2</v>
      </c>
      <c r="E46" s="61">
        <f t="shared" si="12"/>
        <v>1015285.8004026574</v>
      </c>
    </row>
    <row r="47" spans="1:10" ht="18" customHeight="1" x14ac:dyDescent="0.3">
      <c r="A47" s="94" t="s">
        <v>20</v>
      </c>
      <c r="B47" s="95"/>
      <c r="C47" s="60">
        <f t="shared" si="13"/>
        <v>488750.22956206102</v>
      </c>
      <c r="D47" s="45">
        <f t="shared" si="14"/>
        <v>3.2689369415508665E-2</v>
      </c>
      <c r="E47" s="61">
        <f t="shared" si="12"/>
        <v>479904.47519936122</v>
      </c>
    </row>
    <row r="48" spans="1:10" ht="18" customHeight="1" x14ac:dyDescent="0.3">
      <c r="A48" s="94" t="s">
        <v>21</v>
      </c>
      <c r="B48" s="95"/>
      <c r="C48" s="60">
        <f t="shared" si="13"/>
        <v>552950.19931109808</v>
      </c>
      <c r="D48" s="45">
        <f t="shared" si="14"/>
        <v>3.6983293797848558E-2</v>
      </c>
      <c r="E48" s="61">
        <f t="shared" si="12"/>
        <v>552950.46210541343</v>
      </c>
    </row>
    <row r="49" spans="1:5" ht="18" customHeight="1" thickBot="1" x14ac:dyDescent="0.35">
      <c r="A49" s="108" t="s">
        <v>22</v>
      </c>
      <c r="B49" s="109"/>
      <c r="C49" s="62">
        <f t="shared" si="13"/>
        <v>1071985.0632588658</v>
      </c>
      <c r="D49" s="63">
        <f t="shared" si="14"/>
        <v>7.1698208248773473E-2</v>
      </c>
      <c r="E49" s="64">
        <f t="shared" si="12"/>
        <v>940910.18066585506</v>
      </c>
    </row>
    <row r="50" spans="1:5" ht="18" customHeight="1" thickBot="1" x14ac:dyDescent="0.35">
      <c r="A50" s="110" t="s">
        <v>23</v>
      </c>
      <c r="B50" s="111"/>
      <c r="C50" s="65">
        <f>SUM(C38:C49)</f>
        <v>14951350.737601457</v>
      </c>
      <c r="D50" s="66">
        <f t="shared" si="14"/>
        <v>0.99999999582656152</v>
      </c>
      <c r="E50" s="67">
        <f>SUM(E38:E49)</f>
        <v>13456216.049039382</v>
      </c>
    </row>
    <row r="51" spans="1:5" x14ac:dyDescent="0.3">
      <c r="C51" s="68"/>
    </row>
    <row r="52" spans="1:5" x14ac:dyDescent="0.3">
      <c r="C52" s="68"/>
    </row>
  </sheetData>
  <mergeCells count="52"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46:B46"/>
    <mergeCell ref="C35:D35"/>
    <mergeCell ref="C36:C37"/>
    <mergeCell ref="D36:D37"/>
    <mergeCell ref="A38:B38"/>
    <mergeCell ref="A39:B39"/>
    <mergeCell ref="A40:B40"/>
    <mergeCell ref="A28:B28"/>
    <mergeCell ref="A29:B29"/>
    <mergeCell ref="A30:B30"/>
    <mergeCell ref="A31:B31"/>
    <mergeCell ref="A32:B32"/>
    <mergeCell ref="A33:B33"/>
    <mergeCell ref="A27:B27"/>
    <mergeCell ref="A15:B15"/>
    <mergeCell ref="A16:B16"/>
    <mergeCell ref="A17:B17"/>
    <mergeCell ref="C19:H19"/>
    <mergeCell ref="A22:B22"/>
    <mergeCell ref="A23:B23"/>
    <mergeCell ref="A24:B24"/>
    <mergeCell ref="A25:B25"/>
    <mergeCell ref="A26:B26"/>
    <mergeCell ref="I19:J19"/>
    <mergeCell ref="A21:B21"/>
    <mergeCell ref="A9:B9"/>
    <mergeCell ref="A10:B10"/>
    <mergeCell ref="A11:B11"/>
    <mergeCell ref="A12:B12"/>
    <mergeCell ref="A13:B13"/>
    <mergeCell ref="A14:B14"/>
    <mergeCell ref="I3:I4"/>
    <mergeCell ref="J3:J4"/>
    <mergeCell ref="A5:B5"/>
    <mergeCell ref="A6:B6"/>
    <mergeCell ref="A7:B7"/>
    <mergeCell ref="G3:G4"/>
    <mergeCell ref="H3:H4"/>
    <mergeCell ref="A8:B8"/>
    <mergeCell ref="A1:B1"/>
    <mergeCell ref="C3:D3"/>
    <mergeCell ref="E3:E4"/>
    <mergeCell ref="F3:F4"/>
  </mergeCells>
  <pageMargins left="0.45" right="0.45" top="0.91666666666666663" bottom="0.25" header="0.3" footer="0.3"/>
  <pageSetup orientation="landscape" horizontalDpi="300" verticalDpi="300" r:id="rId1"/>
  <headerFooter>
    <oddHeader>&amp;C
&amp;"-,Bold"&amp;12WIA Adult Allocation by WDA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52"/>
  <sheetViews>
    <sheetView view="pageLayout" topLeftCell="A31" zoomScaleNormal="100" workbookViewId="0">
      <selection activeCell="G40" sqref="G40"/>
    </sheetView>
  </sheetViews>
  <sheetFormatPr defaultRowHeight="14.4" x14ac:dyDescent="0.3"/>
  <cols>
    <col min="3" max="3" width="13.88671875" customWidth="1"/>
    <col min="4" max="4" width="14.33203125" customWidth="1"/>
    <col min="5" max="5" width="14.5546875" customWidth="1"/>
    <col min="6" max="6" width="15.33203125" bestFit="1" customWidth="1"/>
    <col min="7" max="7" width="13" customWidth="1"/>
    <col min="8" max="8" width="14.33203125" customWidth="1"/>
    <col min="9" max="9" width="12.88671875" customWidth="1"/>
    <col min="10" max="10" width="12.6640625" customWidth="1"/>
  </cols>
  <sheetData>
    <row r="1" spans="1:10" ht="20.25" customHeight="1" x14ac:dyDescent="0.3">
      <c r="A1" s="96" t="s">
        <v>0</v>
      </c>
      <c r="B1" s="96"/>
      <c r="C1" s="1" t="str">
        <f>'[1]Data Entry'!B1</f>
        <v>PY 2012</v>
      </c>
      <c r="D1" s="2"/>
      <c r="E1" s="1" t="s">
        <v>1</v>
      </c>
      <c r="F1" s="3">
        <f>'[1]Planning Allocations'!E8</f>
        <v>13810606</v>
      </c>
      <c r="G1" s="2"/>
      <c r="H1" s="4"/>
      <c r="I1" s="4"/>
      <c r="J1" s="4"/>
    </row>
    <row r="2" spans="1:10" ht="10.5" customHeight="1" thickBot="1" x14ac:dyDescent="0.35"/>
    <row r="3" spans="1:10" x14ac:dyDescent="0.3">
      <c r="A3" s="5"/>
      <c r="B3" s="6"/>
      <c r="C3" s="97" t="s">
        <v>2</v>
      </c>
      <c r="D3" s="97"/>
      <c r="E3" s="98" t="s">
        <v>3</v>
      </c>
      <c r="F3" s="98" t="s">
        <v>4</v>
      </c>
      <c r="G3" s="104" t="s">
        <v>5</v>
      </c>
      <c r="H3" s="104" t="s">
        <v>6</v>
      </c>
      <c r="I3" s="98" t="s">
        <v>7</v>
      </c>
      <c r="J3" s="100" t="s">
        <v>8</v>
      </c>
    </row>
    <row r="4" spans="1:10" ht="15" thickBot="1" x14ac:dyDescent="0.35">
      <c r="A4" s="7"/>
      <c r="B4" s="8"/>
      <c r="C4" s="9" t="s">
        <v>9</v>
      </c>
      <c r="D4" s="9" t="s">
        <v>10</v>
      </c>
      <c r="E4" s="99"/>
      <c r="F4" s="99"/>
      <c r="G4" s="105"/>
      <c r="H4" s="105"/>
      <c r="I4" s="99"/>
      <c r="J4" s="101"/>
    </row>
    <row r="5" spans="1:10" x14ac:dyDescent="0.3">
      <c r="A5" s="102" t="s">
        <v>11</v>
      </c>
      <c r="B5" s="103"/>
      <c r="C5" s="10">
        <f>('[1]Data Entry'!C106+'[1]Data Entry'!E106+'[1]Data Entry'!G106)/3</f>
        <v>4.5139241797751271E-2</v>
      </c>
      <c r="D5" s="11">
        <f>C5*$F$1</f>
        <v>623400.28360747453</v>
      </c>
      <c r="E5" s="12">
        <f>'[1]Data Entry'!D124</f>
        <v>3.8128620885824679E-2</v>
      </c>
      <c r="F5" s="13">
        <f>'[1]Data Entry'!E140</f>
        <v>526577.72436676256</v>
      </c>
      <c r="G5" s="14">
        <f>D5-F5</f>
        <v>96822.559240711969</v>
      </c>
      <c r="H5" s="15">
        <f>J21</f>
        <v>-11502.061614820605</v>
      </c>
      <c r="I5" s="12">
        <f>'[1]Data Entry'!F124</f>
        <v>5.3569280225715749E-2</v>
      </c>
      <c r="J5" s="16">
        <f>'[1]Data Entry'!G124</f>
        <v>61108.877857228072</v>
      </c>
    </row>
    <row r="6" spans="1:10" x14ac:dyDescent="0.3">
      <c r="A6" s="94" t="s">
        <v>12</v>
      </c>
      <c r="B6" s="95"/>
      <c r="C6" s="17">
        <f>('[1]Data Entry'!C107+'[1]Data Entry'!E107+'[1]Data Entry'!G107)/3</f>
        <v>7.5945619080731622E-2</v>
      </c>
      <c r="D6" s="18">
        <f t="shared" ref="D6:D16" si="0">C6*$F$1</f>
        <v>1048855.0225500667</v>
      </c>
      <c r="E6" s="19">
        <f>'[1]Data Entry'!D125</f>
        <v>7.2101641258128332E-2</v>
      </c>
      <c r="F6" s="18">
        <f>'[1]Data Entry'!E141</f>
        <v>995767.40680545615</v>
      </c>
      <c r="G6" s="20">
        <f>D6-F6</f>
        <v>53087.61574461055</v>
      </c>
      <c r="H6" s="21">
        <f>J22</f>
        <v>-19322.830190089233</v>
      </c>
      <c r="I6" s="19">
        <f>'[1]Data Entry'!F125</f>
        <v>0.10005869830125962</v>
      </c>
      <c r="J6" s="22">
        <f>'[1]Data Entry'!G125</f>
        <v>114141.43978193075</v>
      </c>
    </row>
    <row r="7" spans="1:10" x14ac:dyDescent="0.3">
      <c r="A7" s="94" t="s">
        <v>13</v>
      </c>
      <c r="B7" s="95"/>
      <c r="C7" s="17">
        <f>('[1]Data Entry'!C108+'[1]Data Entry'!E108+'[1]Data Entry'!G108)/3</f>
        <v>5.6616768067188857E-2</v>
      </c>
      <c r="D7" s="18">
        <f t="shared" si="0"/>
        <v>781911.87676932686</v>
      </c>
      <c r="E7" s="19">
        <f>'[1]Data Entry'!D126</f>
        <v>4.5802496661834086E-2</v>
      </c>
      <c r="F7" s="18">
        <f>'[1]Data Entry'!E142</f>
        <v>632560.25774355244</v>
      </c>
      <c r="G7" s="20">
        <f t="shared" ref="G7:G16" si="1">D7-F7</f>
        <v>149351.61902577442</v>
      </c>
      <c r="H7" s="21">
        <f t="shared" ref="H7:H16" si="2">J23</f>
        <v>-14398.024183557189</v>
      </c>
      <c r="I7" s="19">
        <f>'[1]Data Entry'!F126</f>
        <v>6.9513022689742909E-2</v>
      </c>
      <c r="J7" s="22">
        <f>'[1]Data Entry'!G126</f>
        <v>79296.619165606244</v>
      </c>
    </row>
    <row r="8" spans="1:10" x14ac:dyDescent="0.3">
      <c r="A8" s="94" t="s">
        <v>14</v>
      </c>
      <c r="B8" s="95"/>
      <c r="C8" s="17">
        <f>('[1]Data Entry'!C109+'[1]Data Entry'!E109+'[1]Data Entry'!G109)/3</f>
        <v>9.9048079039196282E-2</v>
      </c>
      <c r="D8" s="18">
        <f t="shared" si="0"/>
        <v>1367913.9946671985</v>
      </c>
      <c r="E8" s="19">
        <f>'[1]Data Entry'!D127</f>
        <v>8.4729838736589527E-2</v>
      </c>
      <c r="F8" s="18">
        <f>'[1]Data Entry'!E143</f>
        <v>1170170.4597620848</v>
      </c>
      <c r="G8" s="20">
        <f t="shared" si="1"/>
        <v>197743.53490511375</v>
      </c>
      <c r="H8" s="21">
        <f t="shared" si="2"/>
        <v>-25046.889137789949</v>
      </c>
      <c r="I8" s="19">
        <f>'[1]Data Entry'!F127</f>
        <v>0.12677429768348086</v>
      </c>
      <c r="J8" s="22">
        <f>'[1]Data Entry'!G127</f>
        <v>144617.12085608285</v>
      </c>
    </row>
    <row r="9" spans="1:10" x14ac:dyDescent="0.3">
      <c r="A9" s="94" t="s">
        <v>15</v>
      </c>
      <c r="B9" s="95"/>
      <c r="C9" s="17">
        <f>('[1]Data Entry'!C110+'[1]Data Entry'!E110+'[1]Data Entry'!G110)/3</f>
        <v>0.25799096132314048</v>
      </c>
      <c r="D9" s="18">
        <f t="shared" si="0"/>
        <v>3563011.5183951319</v>
      </c>
      <c r="E9" s="19">
        <f>'[1]Data Entry'!D128</f>
        <v>0.21693979496190077</v>
      </c>
      <c r="F9" s="18">
        <f>'[1]Data Entry'!E144</f>
        <v>2996070.2356737489</v>
      </c>
      <c r="G9" s="20">
        <f t="shared" si="1"/>
        <v>566941.28272138303</v>
      </c>
      <c r="H9" s="21">
        <f t="shared" si="2"/>
        <v>-65530.119346560568</v>
      </c>
      <c r="I9" s="19">
        <f>'[1]Data Entry'!F128</f>
        <v>0.32722394022326889</v>
      </c>
      <c r="J9" s="22">
        <f>'[1]Data Entry'!G128</f>
        <v>373279.00824520487</v>
      </c>
    </row>
    <row r="10" spans="1:10" x14ac:dyDescent="0.3">
      <c r="A10" s="94" t="s">
        <v>16</v>
      </c>
      <c r="B10" s="95"/>
      <c r="C10" s="17">
        <f>('[1]Data Entry'!C111+'[1]Data Entry'!E111+'[1]Data Entry'!G111)/3</f>
        <v>0.12262330483623778</v>
      </c>
      <c r="D10" s="18">
        <f t="shared" si="0"/>
        <v>1693502.1495111745</v>
      </c>
      <c r="E10" s="19">
        <f>'[1]Data Entry'!D129</f>
        <v>0.10150739271467563</v>
      </c>
      <c r="F10" s="18">
        <f>'[1]Data Entry'!E145</f>
        <v>1401878.6545397779</v>
      </c>
      <c r="G10" s="20">
        <f t="shared" si="1"/>
        <v>291623.49497139663</v>
      </c>
      <c r="H10" s="21">
        <f t="shared" si="2"/>
        <v>-31168.528014714164</v>
      </c>
      <c r="I10" s="19">
        <f>'[1]Data Entry'!F129</f>
        <v>0.1470420949535074</v>
      </c>
      <c r="J10" s="22">
        <f>'[1]Data Entry'!G129</f>
        <v>167737.5051993198</v>
      </c>
    </row>
    <row r="11" spans="1:10" x14ac:dyDescent="0.3">
      <c r="A11" s="94" t="s">
        <v>17</v>
      </c>
      <c r="B11" s="95"/>
      <c r="C11" s="17">
        <f>('[1]Data Entry'!C112+'[1]Data Entry'!E112+'[1]Data Entry'!G112)/3</f>
        <v>9.8253758820803519E-2</v>
      </c>
      <c r="D11" s="18">
        <f t="shared" si="0"/>
        <v>1356943.9510931419</v>
      </c>
      <c r="E11" s="19">
        <f>'[1]Data Entry'!D130</f>
        <v>9.1878326134679084E-2</v>
      </c>
      <c r="F11" s="18">
        <f>'[1]Data Entry'!E146</f>
        <v>1268895.7356213038</v>
      </c>
      <c r="G11" s="20">
        <f t="shared" si="1"/>
        <v>88048.215471838135</v>
      </c>
      <c r="H11" s="21">
        <f t="shared" si="2"/>
        <v>-24832.494769364428</v>
      </c>
      <c r="I11" s="19">
        <f>'[1]Data Entry'!F130</f>
        <v>0.12829278550018403</v>
      </c>
      <c r="J11" s="22">
        <f>'[1]Data Entry'!G130</f>
        <v>146349.32793685034</v>
      </c>
    </row>
    <row r="12" spans="1:10" x14ac:dyDescent="0.3">
      <c r="A12" s="94" t="s">
        <v>18</v>
      </c>
      <c r="B12" s="95"/>
      <c r="C12" s="17">
        <f>('[1]Data Entry'!C113+'[1]Data Entry'!E113+'[1]Data Entry'!G113)/3</f>
        <v>4.4159428024551285E-2</v>
      </c>
      <c r="D12" s="18">
        <f t="shared" si="0"/>
        <v>609868.46163243614</v>
      </c>
      <c r="E12" s="19">
        <f>'[1]Data Entry'!D131</f>
        <v>4.8993457909400281E-2</v>
      </c>
      <c r="F12" s="18">
        <f>'[1]Data Entry'!E147</f>
        <v>676629.71088920988</v>
      </c>
      <c r="G12" s="20">
        <f t="shared" si="1"/>
        <v>-66761.249256773735</v>
      </c>
      <c r="H12" s="69">
        <f>66761+0.5</f>
        <v>66761.5</v>
      </c>
      <c r="I12" s="19">
        <f>'[1]Data Entry'!F131</f>
        <v>6.8285335182711918E-2</v>
      </c>
      <c r="J12" s="22">
        <f>'[1]Data Entry'!G131</f>
        <v>77896.141025935678</v>
      </c>
    </row>
    <row r="13" spans="1:10" x14ac:dyDescent="0.3">
      <c r="A13" s="94" t="s">
        <v>19</v>
      </c>
      <c r="B13" s="95"/>
      <c r="C13" s="17">
        <f>('[1]Data Entry'!C114+'[1]Data Entry'!E114+'[1]Data Entry'!G114)/3</f>
        <v>6.1202782920757391E-2</v>
      </c>
      <c r="D13" s="18">
        <f t="shared" si="0"/>
        <v>845247.52102210955</v>
      </c>
      <c r="E13" s="19">
        <f>'[1]Data Entry'!D132</f>
        <v>6.7905958062508792E-2</v>
      </c>
      <c r="F13" s="18">
        <f>'[1]Data Entry'!E148</f>
        <v>937820.90301720577</v>
      </c>
      <c r="G13" s="20">
        <f t="shared" si="1"/>
        <v>-92573.381995096221</v>
      </c>
      <c r="H13" s="21">
        <v>92573</v>
      </c>
      <c r="I13" s="19">
        <f>'[1]Data Entry'!F132</f>
        <v>9.3889274736136494E-2</v>
      </c>
      <c r="J13" s="22">
        <f>'[1]Data Entry'!G132</f>
        <v>107103.70193101908</v>
      </c>
    </row>
    <row r="14" spans="1:10" x14ac:dyDescent="0.3">
      <c r="A14" s="94" t="s">
        <v>20</v>
      </c>
      <c r="B14" s="95"/>
      <c r="C14" s="17">
        <f>('[1]Data Entry'!C115+'[1]Data Entry'!E115+'[1]Data Entry'!G115)/3</f>
        <v>3.3306983148834748E-2</v>
      </c>
      <c r="D14" s="18">
        <f t="shared" si="0"/>
        <v>459989.62131719606</v>
      </c>
      <c r="E14" s="19">
        <f>'[1]Data Entry'!D133</f>
        <v>3.2097733617444196E-2</v>
      </c>
      <c r="F14" s="18">
        <f>'[1]Data Entry'!E149</f>
        <v>443291.17373780918</v>
      </c>
      <c r="G14" s="20">
        <f t="shared" si="1"/>
        <v>16698.447579386877</v>
      </c>
      <c r="H14" s="21">
        <f t="shared" si="2"/>
        <v>-8529.5633046178791</v>
      </c>
      <c r="I14" s="19">
        <f>'[1]Data Entry'!F133</f>
        <v>4.4566349005949898E-2</v>
      </c>
      <c r="J14" s="22">
        <f>'[1]Data Entry'!G133</f>
        <v>50838.830883522518</v>
      </c>
    </row>
    <row r="15" spans="1:10" x14ac:dyDescent="0.3">
      <c r="A15" s="94" t="s">
        <v>21</v>
      </c>
      <c r="B15" s="95"/>
      <c r="C15" s="17">
        <f>('[1]Data Entry'!C116+'[1]Data Entry'!E116+'[1]Data Entry'!G116)/3</f>
        <v>3.2667830876598657E-2</v>
      </c>
      <c r="D15" s="18">
        <f t="shared" si="0"/>
        <v>451162.54111133865</v>
      </c>
      <c r="E15" s="19">
        <f>'[1]Data Entry'!D134</f>
        <v>3.6983311374475504E-2</v>
      </c>
      <c r="F15" s="18">
        <f>'[1]Data Entry'!E150</f>
        <v>510761.65021047421</v>
      </c>
      <c r="G15" s="20">
        <f t="shared" si="1"/>
        <v>-59599.10909913556</v>
      </c>
      <c r="H15" s="21">
        <v>59599</v>
      </c>
      <c r="I15" s="19">
        <f>'[1]Data Entry'!F134</f>
        <v>5.1463992304040355E-2</v>
      </c>
      <c r="J15" s="22">
        <f>'[1]Data Entry'!G134</f>
        <v>58707.281608074059</v>
      </c>
    </row>
    <row r="16" spans="1:10" ht="15" thickBot="1" x14ac:dyDescent="0.35">
      <c r="A16" s="108" t="s">
        <v>22</v>
      </c>
      <c r="B16" s="109"/>
      <c r="C16" s="23">
        <f>('[1]Data Entry'!C117+'[1]Data Entry'!E117+'[1]Data Entry'!G117)/3</f>
        <v>7.3045242064208135E-2</v>
      </c>
      <c r="D16" s="24">
        <f t="shared" si="0"/>
        <v>1008799.0583234052</v>
      </c>
      <c r="E16" s="25">
        <f>'[1]Data Entry'!D135</f>
        <v>6.2931449689873839E-2</v>
      </c>
      <c r="F16" s="24">
        <f>'[1]Data Entry'!E151</f>
        <v>869121.32153956487</v>
      </c>
      <c r="G16" s="20">
        <f t="shared" si="1"/>
        <v>139677.73678384034</v>
      </c>
      <c r="H16" s="21">
        <f t="shared" si="2"/>
        <v>-18603.229789491517</v>
      </c>
      <c r="I16" s="25">
        <f>'[1]Data Entry'!F135</f>
        <v>8.9320979770746656E-2</v>
      </c>
      <c r="J16" s="70">
        <f>'[1]Data Entry'!G135</f>
        <v>101892.44320438444</v>
      </c>
    </row>
    <row r="17" spans="1:10" ht="15" thickBot="1" x14ac:dyDescent="0.35">
      <c r="A17" s="110" t="s">
        <v>23</v>
      </c>
      <c r="B17" s="111"/>
      <c r="C17" s="26">
        <f t="shared" ref="C17:J17" si="3">SUM(C5:C16)</f>
        <v>1</v>
      </c>
      <c r="D17" s="27">
        <f t="shared" si="3"/>
        <v>13810606.000000004</v>
      </c>
      <c r="E17" s="28">
        <f t="shared" si="3"/>
        <v>0.90000002200733464</v>
      </c>
      <c r="F17" s="27">
        <f t="shared" si="3"/>
        <v>12429545.233906949</v>
      </c>
      <c r="G17" s="27">
        <f t="shared" si="3"/>
        <v>1381060.7660930501</v>
      </c>
      <c r="H17" s="29">
        <f t="shared" si="3"/>
        <v>-0.24035100551554933</v>
      </c>
      <c r="I17" s="28">
        <f t="shared" si="3"/>
        <v>1.3000000505767446</v>
      </c>
      <c r="J17" s="30">
        <f t="shared" si="3"/>
        <v>1482968.2976951587</v>
      </c>
    </row>
    <row r="18" spans="1:10" ht="21.75" customHeight="1" thickBot="1" x14ac:dyDescent="0.35"/>
    <row r="19" spans="1:10" ht="15" customHeight="1" x14ac:dyDescent="0.3">
      <c r="A19" s="31"/>
      <c r="B19" s="32"/>
      <c r="C19" s="112" t="s">
        <v>24</v>
      </c>
      <c r="D19" s="113"/>
      <c r="E19" s="113"/>
      <c r="F19" s="113"/>
      <c r="G19" s="113"/>
      <c r="H19" s="113"/>
      <c r="I19" s="106" t="s">
        <v>25</v>
      </c>
      <c r="J19" s="107"/>
    </row>
    <row r="20" spans="1:10" ht="43.8" thickBot="1" x14ac:dyDescent="0.35">
      <c r="A20" s="7"/>
      <c r="B20" s="8"/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40</v>
      </c>
      <c r="H20" s="33" t="s">
        <v>31</v>
      </c>
      <c r="I20" s="34" t="s">
        <v>32</v>
      </c>
      <c r="J20" s="35" t="s">
        <v>33</v>
      </c>
    </row>
    <row r="21" spans="1:10" x14ac:dyDescent="0.3">
      <c r="A21" s="102" t="s">
        <v>11</v>
      </c>
      <c r="B21" s="103"/>
      <c r="C21" s="36">
        <v>13975</v>
      </c>
      <c r="D21" s="12">
        <f>C21/C33</f>
        <v>4.9855872825606121E-2</v>
      </c>
      <c r="E21" s="37">
        <v>6580</v>
      </c>
      <c r="F21" s="12">
        <f>E21/$E$33</f>
        <v>4.606262556965747E-2</v>
      </c>
      <c r="G21" s="38">
        <v>18460</v>
      </c>
      <c r="H21" s="39">
        <f>G21/$G$33</f>
        <v>6.1691675299936501E-2</v>
      </c>
      <c r="I21" s="40">
        <f>(D21+F21+H21)/3</f>
        <v>5.2536724565066695E-2</v>
      </c>
      <c r="J21" s="41">
        <f>I21*J33</f>
        <v>-11502.061614820605</v>
      </c>
    </row>
    <row r="22" spans="1:10" x14ac:dyDescent="0.3">
      <c r="A22" s="94" t="s">
        <v>12</v>
      </c>
      <c r="B22" s="95"/>
      <c r="C22" s="42">
        <v>22560</v>
      </c>
      <c r="D22" s="19">
        <f>C22/$C$33</f>
        <v>8.0482897384305835E-2</v>
      </c>
      <c r="E22" s="43">
        <v>12532</v>
      </c>
      <c r="F22" s="19">
        <f>E22/$E$33</f>
        <v>8.7729000553031525E-2</v>
      </c>
      <c r="G22" s="44">
        <v>28895</v>
      </c>
      <c r="H22" s="45">
        <f>G22/$G$33</f>
        <v>9.6564515590014374E-2</v>
      </c>
      <c r="I22" s="46">
        <f>(D22+F22+H22)/3</f>
        <v>8.8258804509117258E-2</v>
      </c>
      <c r="J22" s="22">
        <f>I22*$J$33</f>
        <v>-19322.830190089233</v>
      </c>
    </row>
    <row r="23" spans="1:10" x14ac:dyDescent="0.3">
      <c r="A23" s="94" t="s">
        <v>13</v>
      </c>
      <c r="B23" s="95"/>
      <c r="C23" s="42">
        <v>18079</v>
      </c>
      <c r="D23" s="19">
        <f t="shared" ref="D23:D32" si="4">C23/$C$33</f>
        <v>6.4496910541261748E-2</v>
      </c>
      <c r="E23" s="43">
        <v>8947</v>
      </c>
      <c r="F23" s="19">
        <f t="shared" ref="F23:F32" si="5">E23/$E$33</f>
        <v>6.2632570056493225E-2</v>
      </c>
      <c r="G23" s="44">
        <v>20995</v>
      </c>
      <c r="H23" s="45">
        <f t="shared" ref="H23:H32" si="6">G23/$G$33</f>
        <v>7.0163419443237646E-2</v>
      </c>
      <c r="I23" s="46">
        <f t="shared" ref="I23:I33" si="7">(D23+F23+H23)/3</f>
        <v>6.5764300013664206E-2</v>
      </c>
      <c r="J23" s="22">
        <f t="shared" ref="J23:J32" si="8">I23*$J$33</f>
        <v>-14398.024183557189</v>
      </c>
    </row>
    <row r="24" spans="1:10" x14ac:dyDescent="0.3">
      <c r="A24" s="94" t="s">
        <v>14</v>
      </c>
      <c r="B24" s="95"/>
      <c r="C24" s="42">
        <v>35733</v>
      </c>
      <c r="D24" s="19">
        <f t="shared" si="4"/>
        <v>0.12747763174793442</v>
      </c>
      <c r="E24" s="43">
        <v>18391</v>
      </c>
      <c r="F24" s="19">
        <f t="shared" si="5"/>
        <v>0.12874433842729036</v>
      </c>
      <c r="G24" s="44">
        <v>26030</v>
      </c>
      <c r="H24" s="45">
        <f>G24/$G$33</f>
        <v>8.6989940848176989E-2</v>
      </c>
      <c r="I24" s="46">
        <f t="shared" si="7"/>
        <v>0.11440397034113392</v>
      </c>
      <c r="J24" s="22">
        <f t="shared" si="8"/>
        <v>-25046.889137789949</v>
      </c>
    </row>
    <row r="25" spans="1:10" x14ac:dyDescent="0.3">
      <c r="A25" s="94" t="s">
        <v>15</v>
      </c>
      <c r="B25" s="95"/>
      <c r="C25" s="42">
        <v>89579</v>
      </c>
      <c r="D25" s="19">
        <f t="shared" si="4"/>
        <v>0.31957346918389773</v>
      </c>
      <c r="E25" s="43">
        <v>39829</v>
      </c>
      <c r="F25" s="19">
        <f>E25/$E$33</f>
        <v>0.27881889267688259</v>
      </c>
      <c r="G25" s="44">
        <v>89635</v>
      </c>
      <c r="H25" s="45">
        <f t="shared" si="6"/>
        <v>0.2995521839387762</v>
      </c>
      <c r="I25" s="46">
        <f t="shared" si="7"/>
        <v>0.29931484859985219</v>
      </c>
      <c r="J25" s="22">
        <f t="shared" si="8"/>
        <v>-65530.119346560568</v>
      </c>
    </row>
    <row r="26" spans="1:10" x14ac:dyDescent="0.3">
      <c r="A26" s="94" t="s">
        <v>16</v>
      </c>
      <c r="B26" s="95"/>
      <c r="C26" s="42">
        <v>37936</v>
      </c>
      <c r="D26" s="19">
        <f t="shared" si="4"/>
        <v>0.13533684375758095</v>
      </c>
      <c r="E26" s="43">
        <v>20510</v>
      </c>
      <c r="F26" s="19">
        <f t="shared" si="5"/>
        <v>0.14357818395648553</v>
      </c>
      <c r="G26" s="44">
        <v>44340</v>
      </c>
      <c r="H26" s="45">
        <f t="shared" si="6"/>
        <v>0.14818032951241519</v>
      </c>
      <c r="I26" s="46">
        <f t="shared" si="7"/>
        <v>0.1423651190754939</v>
      </c>
      <c r="J26" s="22">
        <f t="shared" si="8"/>
        <v>-31168.528014714164</v>
      </c>
    </row>
    <row r="27" spans="1:10" x14ac:dyDescent="0.3">
      <c r="A27" s="94" t="s">
        <v>17</v>
      </c>
      <c r="B27" s="95"/>
      <c r="C27" s="42">
        <v>32052</v>
      </c>
      <c r="D27" s="19">
        <f t="shared" si="4"/>
        <v>0.11434564835823452</v>
      </c>
      <c r="E27" s="43">
        <v>20401</v>
      </c>
      <c r="F27" s="19">
        <f t="shared" si="5"/>
        <v>0.14281514046300639</v>
      </c>
      <c r="G27" s="44">
        <v>24870</v>
      </c>
      <c r="H27" s="45">
        <f t="shared" si="6"/>
        <v>8.3113324198776858E-2</v>
      </c>
      <c r="I27" s="46">
        <f t="shared" si="7"/>
        <v>0.11342470434000594</v>
      </c>
      <c r="J27" s="22">
        <f t="shared" si="8"/>
        <v>-24832.494769364428</v>
      </c>
    </row>
    <row r="28" spans="1:10" x14ac:dyDescent="0.3">
      <c r="A28" s="94" t="s">
        <v>18</v>
      </c>
      <c r="B28" s="95"/>
      <c r="C28" s="42"/>
      <c r="D28" s="19">
        <f t="shared" si="4"/>
        <v>0</v>
      </c>
      <c r="E28" s="43"/>
      <c r="F28" s="19">
        <f t="shared" si="5"/>
        <v>0</v>
      </c>
      <c r="G28" s="44"/>
      <c r="H28" s="45">
        <f t="shared" si="6"/>
        <v>0</v>
      </c>
      <c r="I28" s="46">
        <f t="shared" si="7"/>
        <v>0</v>
      </c>
      <c r="J28" s="22">
        <f t="shared" si="8"/>
        <v>0</v>
      </c>
    </row>
    <row r="29" spans="1:10" x14ac:dyDescent="0.3">
      <c r="A29" s="94" t="s">
        <v>19</v>
      </c>
      <c r="B29" s="95"/>
      <c r="C29" s="42"/>
      <c r="D29" s="19">
        <f t="shared" si="4"/>
        <v>0</v>
      </c>
      <c r="E29" s="43"/>
      <c r="F29" s="19">
        <f t="shared" si="5"/>
        <v>0</v>
      </c>
      <c r="G29" s="44"/>
      <c r="H29" s="45">
        <f t="shared" si="6"/>
        <v>0</v>
      </c>
      <c r="I29" s="46">
        <f t="shared" si="7"/>
        <v>0</v>
      </c>
      <c r="J29" s="22">
        <f t="shared" si="8"/>
        <v>0</v>
      </c>
    </row>
    <row r="30" spans="1:10" x14ac:dyDescent="0.3">
      <c r="A30" s="94" t="s">
        <v>20</v>
      </c>
      <c r="B30" s="95"/>
      <c r="C30" s="42">
        <v>8610</v>
      </c>
      <c r="D30" s="19">
        <f t="shared" si="4"/>
        <v>3.071621216661672E-2</v>
      </c>
      <c r="E30" s="43">
        <v>4269</v>
      </c>
      <c r="F30" s="19">
        <f t="shared" si="5"/>
        <v>2.9884703428095401E-2</v>
      </c>
      <c r="G30" s="44">
        <v>16840</v>
      </c>
      <c r="H30" s="45">
        <f t="shared" si="6"/>
        <v>5.6277779634394946E-2</v>
      </c>
      <c r="I30" s="46">
        <f t="shared" si="7"/>
        <v>3.8959565076369024E-2</v>
      </c>
      <c r="J30" s="22">
        <f t="shared" si="8"/>
        <v>-8529.5633046178791</v>
      </c>
    </row>
    <row r="31" spans="1:10" x14ac:dyDescent="0.3">
      <c r="A31" s="94" t="s">
        <v>21</v>
      </c>
      <c r="B31" s="95"/>
      <c r="C31" s="42"/>
      <c r="D31" s="19">
        <f t="shared" si="4"/>
        <v>0</v>
      </c>
      <c r="E31" s="43"/>
      <c r="F31" s="19">
        <f t="shared" si="5"/>
        <v>0</v>
      </c>
      <c r="G31" s="44"/>
      <c r="H31" s="45">
        <f t="shared" si="6"/>
        <v>0</v>
      </c>
      <c r="I31" s="46">
        <f t="shared" si="7"/>
        <v>0</v>
      </c>
      <c r="J31" s="22">
        <f t="shared" si="8"/>
        <v>0</v>
      </c>
    </row>
    <row r="32" spans="1:10" ht="15" thickBot="1" x14ac:dyDescent="0.35">
      <c r="A32" s="108" t="s">
        <v>22</v>
      </c>
      <c r="B32" s="109"/>
      <c r="C32" s="47">
        <v>21784</v>
      </c>
      <c r="D32" s="19">
        <f t="shared" si="4"/>
        <v>7.7714514034561977E-2</v>
      </c>
      <c r="E32" s="48">
        <v>11390</v>
      </c>
      <c r="F32" s="19">
        <f t="shared" si="5"/>
        <v>7.9734544869057539E-2</v>
      </c>
      <c r="G32" s="48">
        <v>29165</v>
      </c>
      <c r="H32" s="45">
        <f t="shared" si="6"/>
        <v>9.7466831534271298E-2</v>
      </c>
      <c r="I32" s="46">
        <f t="shared" si="7"/>
        <v>8.4971963479296933E-2</v>
      </c>
      <c r="J32" s="22">
        <f t="shared" si="8"/>
        <v>-18603.229789491517</v>
      </c>
    </row>
    <row r="33" spans="1:10" ht="15" thickBot="1" x14ac:dyDescent="0.35">
      <c r="A33" s="114" t="s">
        <v>23</v>
      </c>
      <c r="B33" s="115"/>
      <c r="C33" s="71">
        <f t="shared" ref="C33:H33" si="9">SUM(C21:C32)</f>
        <v>280308</v>
      </c>
      <c r="D33" s="28">
        <f t="shared" si="9"/>
        <v>0.99999999999999989</v>
      </c>
      <c r="E33" s="72">
        <f t="shared" si="9"/>
        <v>142849</v>
      </c>
      <c r="F33" s="28">
        <f t="shared" si="9"/>
        <v>1</v>
      </c>
      <c r="G33" s="72">
        <f t="shared" si="9"/>
        <v>299230</v>
      </c>
      <c r="H33" s="51">
        <f t="shared" si="9"/>
        <v>1</v>
      </c>
      <c r="I33" s="26">
        <f t="shared" si="7"/>
        <v>1</v>
      </c>
      <c r="J33" s="52">
        <f>SUM(G12:G13,G15)</f>
        <v>-218933.74035100552</v>
      </c>
    </row>
    <row r="34" spans="1:10" ht="15" thickBot="1" x14ac:dyDescent="0.35"/>
    <row r="35" spans="1:10" ht="18" customHeight="1" x14ac:dyDescent="0.3">
      <c r="A35" s="53"/>
      <c r="B35" s="54"/>
      <c r="C35" s="112" t="s">
        <v>34</v>
      </c>
      <c r="D35" s="116"/>
      <c r="E35" s="55" t="s">
        <v>35</v>
      </c>
    </row>
    <row r="36" spans="1:10" ht="18" customHeight="1" x14ac:dyDescent="0.3">
      <c r="A36" s="7"/>
      <c r="B36" s="8"/>
      <c r="C36" s="117" t="s">
        <v>36</v>
      </c>
      <c r="D36" s="119" t="s">
        <v>37</v>
      </c>
      <c r="E36" s="56" t="s">
        <v>38</v>
      </c>
    </row>
    <row r="37" spans="1:10" ht="18" customHeight="1" thickBot="1" x14ac:dyDescent="0.35">
      <c r="A37" s="7"/>
      <c r="B37" s="8"/>
      <c r="C37" s="118"/>
      <c r="D37" s="120"/>
      <c r="E37" s="57" t="s">
        <v>39</v>
      </c>
    </row>
    <row r="38" spans="1:10" ht="18" customHeight="1" x14ac:dyDescent="0.3">
      <c r="A38" s="102" t="s">
        <v>11</v>
      </c>
      <c r="B38" s="103"/>
      <c r="C38" s="58">
        <f>D5+H5</f>
        <v>611898.22199265391</v>
      </c>
      <c r="D38" s="39">
        <f>C38/F1</f>
        <v>4.4306399153857111E-2</v>
      </c>
      <c r="E38" s="59">
        <f>'[1]Data Entry'!E140</f>
        <v>526577.72436676256</v>
      </c>
    </row>
    <row r="39" spans="1:10" ht="18" customHeight="1" x14ac:dyDescent="0.3">
      <c r="A39" s="94" t="s">
        <v>12</v>
      </c>
      <c r="B39" s="95"/>
      <c r="C39" s="60">
        <f>D6+H6</f>
        <v>1029532.1923599775</v>
      </c>
      <c r="D39" s="45">
        <f>C39/$F$1</f>
        <v>7.4546489296702656E-2</v>
      </c>
      <c r="E39" s="61">
        <f>'[1]Data Entry'!E141</f>
        <v>995767.40680545615</v>
      </c>
    </row>
    <row r="40" spans="1:10" ht="18" customHeight="1" x14ac:dyDescent="0.3">
      <c r="A40" s="94" t="s">
        <v>13</v>
      </c>
      <c r="B40" s="95"/>
      <c r="C40" s="60">
        <f t="shared" ref="C40:C49" si="10">D7+H7</f>
        <v>767513.85258576972</v>
      </c>
      <c r="D40" s="45">
        <f t="shared" ref="D40:D50" si="11">C40/$F$1</f>
        <v>5.5574234221566363E-2</v>
      </c>
      <c r="E40" s="61">
        <f>'[1]Data Entry'!E142</f>
        <v>632560.25774355244</v>
      </c>
    </row>
    <row r="41" spans="1:10" ht="18" customHeight="1" x14ac:dyDescent="0.3">
      <c r="A41" s="94" t="s">
        <v>14</v>
      </c>
      <c r="B41" s="95"/>
      <c r="C41" s="60">
        <f t="shared" si="10"/>
        <v>1342867.1055294087</v>
      </c>
      <c r="D41" s="45">
        <f t="shared" si="11"/>
        <v>9.723448091484245E-2</v>
      </c>
      <c r="E41" s="61">
        <f>'[1]Data Entry'!E143</f>
        <v>1170170.4597620848</v>
      </c>
    </row>
    <row r="42" spans="1:10" ht="18" customHeight="1" x14ac:dyDescent="0.3">
      <c r="A42" s="94" t="s">
        <v>15</v>
      </c>
      <c r="B42" s="95"/>
      <c r="C42" s="60">
        <f t="shared" si="10"/>
        <v>3497481.3990485715</v>
      </c>
      <c r="D42" s="45">
        <f t="shared" si="11"/>
        <v>0.25324604865626976</v>
      </c>
      <c r="E42" s="61">
        <f>'[1]Data Entry'!E144</f>
        <v>2996070.2356737489</v>
      </c>
    </row>
    <row r="43" spans="1:10" ht="18" customHeight="1" x14ac:dyDescent="0.3">
      <c r="A43" s="94" t="s">
        <v>16</v>
      </c>
      <c r="B43" s="95"/>
      <c r="C43" s="60">
        <f t="shared" si="10"/>
        <v>1662333.6214964604</v>
      </c>
      <c r="D43" s="45">
        <f t="shared" si="11"/>
        <v>0.12036645035680986</v>
      </c>
      <c r="E43" s="61">
        <f>'[1]Data Entry'!E145</f>
        <v>1401878.6545397779</v>
      </c>
    </row>
    <row r="44" spans="1:10" ht="18" customHeight="1" x14ac:dyDescent="0.3">
      <c r="A44" s="94" t="s">
        <v>17</v>
      </c>
      <c r="B44" s="95"/>
      <c r="C44" s="60">
        <f t="shared" si="10"/>
        <v>1332111.4563237776</v>
      </c>
      <c r="D44" s="45">
        <f t="shared" si="11"/>
        <v>9.6455684589349486E-2</v>
      </c>
      <c r="E44" s="61">
        <f>'[1]Data Entry'!E146</f>
        <v>1268895.7356213038</v>
      </c>
    </row>
    <row r="45" spans="1:10" ht="18" customHeight="1" x14ac:dyDescent="0.3">
      <c r="A45" s="94" t="s">
        <v>18</v>
      </c>
      <c r="B45" s="95"/>
      <c r="C45" s="60">
        <f t="shared" si="10"/>
        <v>676629.96163243614</v>
      </c>
      <c r="D45" s="45">
        <f t="shared" si="11"/>
        <v>4.8993502648068891E-2</v>
      </c>
      <c r="E45" s="61">
        <f>'[1]Data Entry'!E147</f>
        <v>676629.71088920988</v>
      </c>
    </row>
    <row r="46" spans="1:10" ht="18" customHeight="1" x14ac:dyDescent="0.3">
      <c r="A46" s="94" t="s">
        <v>19</v>
      </c>
      <c r="B46" s="95"/>
      <c r="C46" s="60">
        <f t="shared" si="10"/>
        <v>937820.52102210955</v>
      </c>
      <c r="D46" s="45">
        <f t="shared" si="11"/>
        <v>6.7905819702778397E-2</v>
      </c>
      <c r="E46" s="61">
        <f>'[1]Data Entry'!E148</f>
        <v>937820.90301720577</v>
      </c>
    </row>
    <row r="47" spans="1:10" ht="18" customHeight="1" x14ac:dyDescent="0.3">
      <c r="A47" s="94" t="s">
        <v>20</v>
      </c>
      <c r="B47" s="95"/>
      <c r="C47" s="60">
        <f t="shared" si="10"/>
        <v>451460.05801257817</v>
      </c>
      <c r="D47" s="45">
        <f t="shared" si="11"/>
        <v>3.2689373515729737E-2</v>
      </c>
      <c r="E47" s="61">
        <f>'[1]Data Entry'!E149</f>
        <v>443291.17373780918</v>
      </c>
    </row>
    <row r="48" spans="1:10" ht="18" customHeight="1" x14ac:dyDescent="0.3">
      <c r="A48" s="94" t="s">
        <v>21</v>
      </c>
      <c r="B48" s="95"/>
      <c r="C48" s="60">
        <f t="shared" si="10"/>
        <v>510761.54111133865</v>
      </c>
      <c r="D48" s="45">
        <f t="shared" si="11"/>
        <v>3.6983282349184292E-2</v>
      </c>
      <c r="E48" s="61">
        <f>'[1]Data Entry'!E150</f>
        <v>510761.65021047421</v>
      </c>
    </row>
    <row r="49" spans="1:5" ht="18" customHeight="1" thickBot="1" x14ac:dyDescent="0.35">
      <c r="A49" s="108" t="s">
        <v>22</v>
      </c>
      <c r="B49" s="109"/>
      <c r="C49" s="62">
        <f t="shared" si="10"/>
        <v>990195.82853391371</v>
      </c>
      <c r="D49" s="63">
        <f t="shared" si="11"/>
        <v>7.1698217191476871E-2</v>
      </c>
      <c r="E49" s="64">
        <f>'[1]Data Entry'!E151</f>
        <v>869121.32153956487</v>
      </c>
    </row>
    <row r="50" spans="1:5" ht="18" customHeight="1" thickBot="1" x14ac:dyDescent="0.35">
      <c r="A50" s="110" t="s">
        <v>23</v>
      </c>
      <c r="B50" s="111"/>
      <c r="C50" s="65">
        <f>SUM(C38:C49)</f>
        <v>13810605.759648997</v>
      </c>
      <c r="D50" s="66">
        <f t="shared" si="11"/>
        <v>0.99999998259663603</v>
      </c>
      <c r="E50" s="67">
        <f>SUM(E38:E49)</f>
        <v>12429545.233906949</v>
      </c>
    </row>
    <row r="51" spans="1:5" x14ac:dyDescent="0.3">
      <c r="C51" s="68"/>
    </row>
    <row r="52" spans="1:5" x14ac:dyDescent="0.3">
      <c r="C52" s="68"/>
    </row>
  </sheetData>
  <mergeCells count="52"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46:B46"/>
    <mergeCell ref="C35:D35"/>
    <mergeCell ref="C36:C37"/>
    <mergeCell ref="D36:D37"/>
    <mergeCell ref="A38:B38"/>
    <mergeCell ref="A39:B39"/>
    <mergeCell ref="A40:B40"/>
    <mergeCell ref="A28:B28"/>
    <mergeCell ref="A29:B29"/>
    <mergeCell ref="A30:B30"/>
    <mergeCell ref="A31:B31"/>
    <mergeCell ref="A32:B32"/>
    <mergeCell ref="A33:B33"/>
    <mergeCell ref="A27:B27"/>
    <mergeCell ref="A15:B15"/>
    <mergeCell ref="A16:B16"/>
    <mergeCell ref="A17:B17"/>
    <mergeCell ref="C19:H19"/>
    <mergeCell ref="A22:B22"/>
    <mergeCell ref="A23:B23"/>
    <mergeCell ref="A24:B24"/>
    <mergeCell ref="A25:B25"/>
    <mergeCell ref="A26:B26"/>
    <mergeCell ref="I19:J19"/>
    <mergeCell ref="A21:B21"/>
    <mergeCell ref="A9:B9"/>
    <mergeCell ref="A10:B10"/>
    <mergeCell ref="A11:B11"/>
    <mergeCell ref="A12:B12"/>
    <mergeCell ref="A13:B13"/>
    <mergeCell ref="A14:B14"/>
    <mergeCell ref="I3:I4"/>
    <mergeCell ref="J3:J4"/>
    <mergeCell ref="A5:B5"/>
    <mergeCell ref="A6:B6"/>
    <mergeCell ref="A7:B7"/>
    <mergeCell ref="G3:G4"/>
    <mergeCell ref="H3:H4"/>
    <mergeCell ref="A8:B8"/>
    <mergeCell ref="A1:B1"/>
    <mergeCell ref="C3:D3"/>
    <mergeCell ref="E3:E4"/>
    <mergeCell ref="F3:F4"/>
  </mergeCells>
  <pageMargins left="0.45" right="0.45" top="0.75" bottom="0.25" header="0.3" footer="0.3"/>
  <pageSetup orientation="landscape" horizontalDpi="300" verticalDpi="300" r:id="rId1"/>
  <headerFooter>
    <oddHeader>&amp;C
&amp;"-,Bold"&amp;12WIA Adult Allocation by WDA - October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48"/>
  <sheetViews>
    <sheetView tabSelected="1" view="pageLayout" topLeftCell="A28" zoomScaleNormal="100" workbookViewId="0">
      <selection activeCell="E30" sqref="E30"/>
    </sheetView>
  </sheetViews>
  <sheetFormatPr defaultRowHeight="14.4" x14ac:dyDescent="0.3"/>
  <cols>
    <col min="3" max="3" width="15" customWidth="1"/>
    <col min="4" max="4" width="14.44140625" customWidth="1"/>
    <col min="5" max="5" width="14.88671875" customWidth="1"/>
    <col min="9" max="9" width="27" customWidth="1"/>
    <col min="10" max="10" width="12.5546875" customWidth="1"/>
    <col min="11" max="11" width="18.109375" customWidth="1"/>
    <col min="12" max="12" width="13.109375" customWidth="1"/>
    <col min="13" max="14" width="11.6640625" customWidth="1"/>
  </cols>
  <sheetData>
    <row r="1" spans="1:9" ht="15.9" customHeight="1" thickBot="1" x14ac:dyDescent="0.35">
      <c r="A1" s="96" t="s">
        <v>0</v>
      </c>
      <c r="B1" s="96"/>
      <c r="C1" s="1" t="str">
        <f>'[1]Data Entry'!B1</f>
        <v>PY 2012</v>
      </c>
      <c r="I1" s="73"/>
    </row>
    <row r="2" spans="1:9" ht="14.25" customHeight="1" thickBot="1" x14ac:dyDescent="0.35">
      <c r="A2" s="5"/>
      <c r="B2" s="6"/>
      <c r="C2" s="121" t="s">
        <v>41</v>
      </c>
      <c r="D2" s="122"/>
      <c r="E2" s="123"/>
    </row>
    <row r="3" spans="1:9" ht="14.25" customHeight="1" thickBot="1" x14ac:dyDescent="0.35">
      <c r="A3" s="7"/>
      <c r="B3" s="8"/>
      <c r="C3" s="31" t="s">
        <v>42</v>
      </c>
      <c r="D3" s="74" t="s">
        <v>43</v>
      </c>
      <c r="E3" s="32" t="s">
        <v>44</v>
      </c>
    </row>
    <row r="4" spans="1:9" ht="14.25" customHeight="1" x14ac:dyDescent="0.3">
      <c r="A4" s="102" t="s">
        <v>11</v>
      </c>
      <c r="B4" s="103"/>
      <c r="C4" s="75">
        <f>E4-D4</f>
        <v>45488.059320752836</v>
      </c>
      <c r="D4" s="15">
        <f>E4*10%</f>
        <v>5054.2288134169821</v>
      </c>
      <c r="E4" s="76">
        <f>'[1]Adult Allocation by WDA - July'!C38</f>
        <v>50542.288134169816</v>
      </c>
    </row>
    <row r="5" spans="1:9" ht="14.25" customHeight="1" x14ac:dyDescent="0.3">
      <c r="A5" s="94" t="s">
        <v>12</v>
      </c>
      <c r="B5" s="95"/>
      <c r="C5" s="77">
        <f>E5-D5</f>
        <v>76534.658484771426</v>
      </c>
      <c r="D5" s="21">
        <f>E5*10%</f>
        <v>8503.8509427523804</v>
      </c>
      <c r="E5" s="78">
        <f>'[1]Adult Allocation by WDA - July'!C39</f>
        <v>85038.509427523808</v>
      </c>
    </row>
    <row r="6" spans="1:9" ht="14.25" customHeight="1" x14ac:dyDescent="0.3">
      <c r="A6" s="94" t="s">
        <v>13</v>
      </c>
      <c r="B6" s="95"/>
      <c r="C6" s="77">
        <f t="shared" ref="C6:C13" si="0">E6-D6</f>
        <v>57056.409726187529</v>
      </c>
      <c r="D6" s="21">
        <f t="shared" ref="D6:D14" si="1">E6*10%</f>
        <v>6339.6010806875038</v>
      </c>
      <c r="E6" s="78">
        <f>'[1]Adult Allocation by WDA - July'!C40</f>
        <v>63396.010806875034</v>
      </c>
    </row>
    <row r="7" spans="1:9" ht="14.25" customHeight="1" x14ac:dyDescent="0.3">
      <c r="A7" s="94" t="s">
        <v>14</v>
      </c>
      <c r="B7" s="95"/>
      <c r="C7" s="77">
        <f t="shared" si="0"/>
        <v>99827.743274542998</v>
      </c>
      <c r="D7" s="21">
        <f t="shared" si="1"/>
        <v>11091.971474949223</v>
      </c>
      <c r="E7" s="78">
        <f>'[1]Adult Allocation by WDA - July'!C41</f>
        <v>110919.71474949222</v>
      </c>
    </row>
    <row r="8" spans="1:9" ht="14.25" customHeight="1" x14ac:dyDescent="0.3">
      <c r="A8" s="94" t="s">
        <v>15</v>
      </c>
      <c r="B8" s="95"/>
      <c r="C8" s="77">
        <f t="shared" si="0"/>
        <v>260000.16947174261</v>
      </c>
      <c r="D8" s="21">
        <f>E8*10%</f>
        <v>28888.907719082516</v>
      </c>
      <c r="E8" s="78">
        <f>'[1]Adult Allocation by WDA - July'!C42</f>
        <v>288889.07719082513</v>
      </c>
    </row>
    <row r="9" spans="1:9" ht="14.25" customHeight="1" x14ac:dyDescent="0.3">
      <c r="A9" s="94" t="s">
        <v>16</v>
      </c>
      <c r="B9" s="95"/>
      <c r="C9" s="77">
        <f>(E9-D9)</f>
        <v>123576.89672255989</v>
      </c>
      <c r="D9" s="69">
        <f>E9*10%-0.25</f>
        <v>13730.488524728877</v>
      </c>
      <c r="E9" s="78">
        <f>'[1]Adult Allocation by WDA - July'!C43</f>
        <v>137307.38524728877</v>
      </c>
    </row>
    <row r="10" spans="1:9" ht="14.25" customHeight="1" x14ac:dyDescent="0.3">
      <c r="A10" s="94" t="s">
        <v>17</v>
      </c>
      <c r="B10" s="95"/>
      <c r="C10" s="77">
        <f>(E10-D10)</f>
        <v>99028.17630764388</v>
      </c>
      <c r="D10" s="21">
        <f>E10*10%</f>
        <v>11003.13070084932</v>
      </c>
      <c r="E10" s="78">
        <f>'[1]Adult Allocation by WDA - July'!C44</f>
        <v>110031.3070084932</v>
      </c>
    </row>
    <row r="11" spans="1:9" ht="14.25" customHeight="1" x14ac:dyDescent="0.3">
      <c r="A11" s="94" t="s">
        <v>18</v>
      </c>
      <c r="B11" s="95"/>
      <c r="C11" s="77">
        <f>E11-D11</f>
        <v>50299.774100983035</v>
      </c>
      <c r="D11" s="21">
        <f t="shared" si="1"/>
        <v>5588.8637889981155</v>
      </c>
      <c r="E11" s="78">
        <f>'[1]Adult Allocation by WDA - July'!C45</f>
        <v>55888.637889981153</v>
      </c>
    </row>
    <row r="12" spans="1:9" ht="14.25" customHeight="1" x14ac:dyDescent="0.3">
      <c r="A12" s="94" t="s">
        <v>19</v>
      </c>
      <c r="B12" s="95"/>
      <c r="C12" s="79">
        <f>E12-D12+0.15</f>
        <v>69717.530726144512</v>
      </c>
      <c r="D12" s="21">
        <f>(E12*10%)</f>
        <v>7746.375636238281</v>
      </c>
      <c r="E12" s="78">
        <f>'[1]Adult Allocation by WDA - July'!C46</f>
        <v>77463.756362382803</v>
      </c>
    </row>
    <row r="13" spans="1:9" ht="14.25" customHeight="1" x14ac:dyDescent="0.3">
      <c r="A13" s="94" t="s">
        <v>20</v>
      </c>
      <c r="B13" s="95"/>
      <c r="C13" s="77">
        <f t="shared" si="0"/>
        <v>33561.205358418498</v>
      </c>
      <c r="D13" s="21">
        <f>(E13*10%)</f>
        <v>3729.0228176020555</v>
      </c>
      <c r="E13" s="78">
        <f>'[1]Adult Allocation by WDA - July'!C47</f>
        <v>37290.228176020551</v>
      </c>
    </row>
    <row r="14" spans="1:9" ht="14.25" customHeight="1" x14ac:dyDescent="0.3">
      <c r="A14" s="94" t="s">
        <v>21</v>
      </c>
      <c r="B14" s="95"/>
      <c r="C14" s="77">
        <f>E14-D14</f>
        <v>37969.792379783423</v>
      </c>
      <c r="D14" s="21">
        <f t="shared" si="1"/>
        <v>4218.8658199759366</v>
      </c>
      <c r="E14" s="78">
        <f>'[1]Adult Allocation by WDA - July'!C48</f>
        <v>42188.65819975936</v>
      </c>
    </row>
    <row r="15" spans="1:9" ht="14.25" customHeight="1" thickBot="1" x14ac:dyDescent="0.35">
      <c r="A15" s="108" t="s">
        <v>22</v>
      </c>
      <c r="B15" s="109"/>
      <c r="C15" s="77">
        <f>E15-D15</f>
        <v>73610.422406194906</v>
      </c>
      <c r="D15" s="21">
        <f>E15*10%</f>
        <v>8178.9358229105455</v>
      </c>
      <c r="E15" s="80">
        <f>'[1]Adult Allocation by WDA - July'!C49</f>
        <v>81789.358229105448</v>
      </c>
      <c r="G15" t="s">
        <v>45</v>
      </c>
    </row>
    <row r="16" spans="1:9" ht="14.25" customHeight="1" thickBot="1" x14ac:dyDescent="0.35">
      <c r="A16" s="110" t="s">
        <v>23</v>
      </c>
      <c r="B16" s="111"/>
      <c r="C16" s="65">
        <f>(SUM(C4:C15))</f>
        <v>1026670.8382797258</v>
      </c>
      <c r="D16" s="27">
        <f>SUM(D4:D15)</f>
        <v>114074.24314219174</v>
      </c>
      <c r="E16" s="30">
        <f>SUM(E4:E15)</f>
        <v>1140744.9314219172</v>
      </c>
    </row>
    <row r="17" spans="1:7" ht="6" customHeight="1" thickBot="1" x14ac:dyDescent="0.35"/>
    <row r="18" spans="1:7" ht="14.25" customHeight="1" thickBot="1" x14ac:dyDescent="0.35">
      <c r="A18" s="5"/>
      <c r="B18" s="6"/>
      <c r="C18" s="121" t="s">
        <v>46</v>
      </c>
      <c r="D18" s="122"/>
      <c r="E18" s="123"/>
    </row>
    <row r="19" spans="1:7" ht="14.25" customHeight="1" thickBot="1" x14ac:dyDescent="0.35">
      <c r="A19" s="7"/>
      <c r="B19" s="8"/>
      <c r="C19" s="31" t="s">
        <v>42</v>
      </c>
      <c r="D19" s="74" t="s">
        <v>43</v>
      </c>
      <c r="E19" s="32" t="s">
        <v>44</v>
      </c>
    </row>
    <row r="20" spans="1:7" ht="14.25" customHeight="1" x14ac:dyDescent="0.3">
      <c r="A20" s="102" t="s">
        <v>11</v>
      </c>
      <c r="B20" s="103"/>
      <c r="C20" s="58">
        <f>E20-D20</f>
        <v>550708.39979338855</v>
      </c>
      <c r="D20" s="14">
        <f>E20*10%</f>
        <v>61189.822199265393</v>
      </c>
      <c r="E20" s="16">
        <f>'[1]Adult Allocation by WDA - Oct'!C38</f>
        <v>611898.22199265391</v>
      </c>
    </row>
    <row r="21" spans="1:7" ht="14.25" customHeight="1" x14ac:dyDescent="0.3">
      <c r="A21" s="94" t="s">
        <v>12</v>
      </c>
      <c r="B21" s="95"/>
      <c r="C21" s="79">
        <f>E21-D21-0.1</f>
        <v>926578.87312397978</v>
      </c>
      <c r="D21" s="20">
        <f>E21*10%</f>
        <v>102953.21923599776</v>
      </c>
      <c r="E21" s="22">
        <f>'[1]Adult Allocation by WDA - Oct'!C39</f>
        <v>1029532.1923599775</v>
      </c>
      <c r="F21" t="s">
        <v>47</v>
      </c>
    </row>
    <row r="22" spans="1:7" ht="14.25" customHeight="1" x14ac:dyDescent="0.3">
      <c r="A22" s="94" t="s">
        <v>13</v>
      </c>
      <c r="B22" s="95"/>
      <c r="C22" s="79">
        <f>E22-D22+0.05</f>
        <v>690762.51732719282</v>
      </c>
      <c r="D22" s="20">
        <f t="shared" ref="D22:D27" si="2">E22*10%</f>
        <v>76751.385258576978</v>
      </c>
      <c r="E22" s="22">
        <f>'[1]Adult Allocation by WDA - Oct'!C40</f>
        <v>767513.85258576972</v>
      </c>
    </row>
    <row r="23" spans="1:7" ht="14.25" customHeight="1" x14ac:dyDescent="0.3">
      <c r="A23" s="94" t="s">
        <v>14</v>
      </c>
      <c r="B23" s="95"/>
      <c r="C23" s="79">
        <f>E23-D23-0.1</f>
        <v>1208580.2949764677</v>
      </c>
      <c r="D23" s="21">
        <f>E23*10%</f>
        <v>134286.71055294087</v>
      </c>
      <c r="E23" s="22">
        <f>'[1]Adult Allocation by WDA - Oct'!C41</f>
        <v>1342867.1055294087</v>
      </c>
    </row>
    <row r="24" spans="1:7" ht="14.25" customHeight="1" x14ac:dyDescent="0.3">
      <c r="A24" s="94" t="s">
        <v>15</v>
      </c>
      <c r="B24" s="95"/>
      <c r="C24" s="60">
        <f>E24-D24</f>
        <v>3147733.2591437143</v>
      </c>
      <c r="D24" s="20">
        <f t="shared" si="2"/>
        <v>349748.13990485715</v>
      </c>
      <c r="E24" s="22">
        <f>'[1]Adult Allocation by WDA - Oct'!C42</f>
        <v>3497481.3990485715</v>
      </c>
    </row>
    <row r="25" spans="1:7" ht="14.25" customHeight="1" x14ac:dyDescent="0.3">
      <c r="A25" s="94" t="s">
        <v>16</v>
      </c>
      <c r="B25" s="95"/>
      <c r="C25" s="79">
        <f>(E25-D25)+0.25</f>
        <v>1496100.5093468144</v>
      </c>
      <c r="D25" s="21">
        <f t="shared" si="2"/>
        <v>166233.36214964604</v>
      </c>
      <c r="E25" s="22">
        <f>'[1]Adult Allocation by WDA - Oct'!C43</f>
        <v>1662333.6214964604</v>
      </c>
    </row>
    <row r="26" spans="1:7" ht="14.25" customHeight="1" x14ac:dyDescent="0.3">
      <c r="A26" s="94" t="s">
        <v>17</v>
      </c>
      <c r="B26" s="95"/>
      <c r="C26" s="77">
        <f>(E26-D26)</f>
        <v>1198900.3106913997</v>
      </c>
      <c r="D26" s="21">
        <f t="shared" si="2"/>
        <v>133211.14563237777</v>
      </c>
      <c r="E26" s="22">
        <f>'[1]Adult Allocation by WDA - Oct'!C44</f>
        <v>1332111.4563237776</v>
      </c>
    </row>
    <row r="27" spans="1:7" ht="14.25" customHeight="1" x14ac:dyDescent="0.3">
      <c r="A27" s="94" t="s">
        <v>18</v>
      </c>
      <c r="B27" s="95"/>
      <c r="C27" s="77">
        <f>E27-D27</f>
        <v>608966.96546919248</v>
      </c>
      <c r="D27" s="21">
        <f t="shared" si="2"/>
        <v>67662.996163243617</v>
      </c>
      <c r="E27" s="22">
        <f>'[1]Adult Allocation by WDA - Oct'!C45</f>
        <v>676629.96163243614</v>
      </c>
      <c r="G27" t="s">
        <v>45</v>
      </c>
    </row>
    <row r="28" spans="1:7" ht="14.25" customHeight="1" x14ac:dyDescent="0.3">
      <c r="A28" s="94" t="s">
        <v>19</v>
      </c>
      <c r="B28" s="95"/>
      <c r="C28" s="79">
        <f>E28-D28+0.05</f>
        <v>844038.51891989866</v>
      </c>
      <c r="D28" s="21">
        <f>(E28*10%)</f>
        <v>93782.052102210961</v>
      </c>
      <c r="E28" s="22">
        <f>'[1]Adult Allocation by WDA - Oct'!C46</f>
        <v>937820.52102210955</v>
      </c>
    </row>
    <row r="29" spans="1:7" ht="14.25" customHeight="1" x14ac:dyDescent="0.3">
      <c r="A29" s="94" t="s">
        <v>20</v>
      </c>
      <c r="B29" s="95"/>
      <c r="C29" s="77">
        <f>E29-D29</f>
        <v>406314.05221132038</v>
      </c>
      <c r="D29" s="21">
        <f>(E29*10%)</f>
        <v>45146.005801257823</v>
      </c>
      <c r="E29" s="22">
        <f>'[1]Adult Allocation by WDA - Oct'!C47</f>
        <v>451460.05801257817</v>
      </c>
    </row>
    <row r="30" spans="1:7" ht="14.25" customHeight="1" x14ac:dyDescent="0.3">
      <c r="A30" s="94" t="s">
        <v>21</v>
      </c>
      <c r="B30" s="95"/>
      <c r="C30" s="79">
        <f>E30-D30+0.15</f>
        <v>459685.53700020479</v>
      </c>
      <c r="D30" s="21">
        <f>E30*10%</f>
        <v>51076.154111133867</v>
      </c>
      <c r="E30" s="22">
        <f>'[1]Adult Allocation by WDA - Oct'!C48</f>
        <v>510761.54111133865</v>
      </c>
    </row>
    <row r="31" spans="1:7" ht="14.25" customHeight="1" thickBot="1" x14ac:dyDescent="0.35">
      <c r="A31" s="108" t="s">
        <v>22</v>
      </c>
      <c r="B31" s="109"/>
      <c r="C31" s="77">
        <f>E31-D31</f>
        <v>891176.24568052229</v>
      </c>
      <c r="D31" s="21">
        <f>E31*10%</f>
        <v>99019.582853391374</v>
      </c>
      <c r="E31" s="81">
        <f>'[1]Adult Allocation by WDA - Oct'!C49</f>
        <v>990195.82853391371</v>
      </c>
    </row>
    <row r="32" spans="1:7" ht="14.25" customHeight="1" thickBot="1" x14ac:dyDescent="0.35">
      <c r="A32" s="110" t="s">
        <v>23</v>
      </c>
      <c r="B32" s="111"/>
      <c r="C32" s="65">
        <f>(SUM(C20:C31))</f>
        <v>12429545.483684096</v>
      </c>
      <c r="D32" s="27">
        <f>SUM(D20:D31)</f>
        <v>1381060.5759648997</v>
      </c>
      <c r="E32" s="30">
        <f>SUM(E20:E31)</f>
        <v>13810605.759648997</v>
      </c>
    </row>
    <row r="33" spans="1:8" ht="6.6" customHeight="1" thickBot="1" x14ac:dyDescent="0.35"/>
    <row r="34" spans="1:8" ht="14.25" customHeight="1" thickBot="1" x14ac:dyDescent="0.35">
      <c r="A34" s="82"/>
      <c r="B34" s="83"/>
      <c r="C34" s="124" t="s">
        <v>48</v>
      </c>
      <c r="D34" s="125"/>
      <c r="E34" s="126"/>
    </row>
    <row r="35" spans="1:8" ht="14.25" customHeight="1" thickBot="1" x14ac:dyDescent="0.35">
      <c r="A35" s="84"/>
      <c r="B35" s="85"/>
      <c r="C35" s="86" t="s">
        <v>42</v>
      </c>
      <c r="D35" s="87" t="s">
        <v>43</v>
      </c>
      <c r="E35" s="88" t="s">
        <v>44</v>
      </c>
    </row>
    <row r="36" spans="1:8" ht="14.25" customHeight="1" x14ac:dyDescent="0.3">
      <c r="A36" s="129" t="s">
        <v>11</v>
      </c>
      <c r="B36" s="130"/>
      <c r="C36" s="89">
        <f>E36-D36+0.05</f>
        <v>596195.65</v>
      </c>
      <c r="D36" s="90">
        <f>E36*10%+0.4</f>
        <v>66244.399999999994</v>
      </c>
      <c r="E36" s="91">
        <v>662440</v>
      </c>
      <c r="H36" t="s">
        <v>49</v>
      </c>
    </row>
    <row r="37" spans="1:8" ht="14.25" customHeight="1" x14ac:dyDescent="0.3">
      <c r="A37" s="127" t="s">
        <v>12</v>
      </c>
      <c r="B37" s="128"/>
      <c r="C37" s="60">
        <f>E37-D37</f>
        <v>1003113.5816087512</v>
      </c>
      <c r="D37" s="69">
        <f>E37*10%+0.05</f>
        <v>111457.12017875015</v>
      </c>
      <c r="E37" s="22">
        <f t="shared" ref="E37:E47" si="3">SUM(E5+E21)</f>
        <v>1114570.7017875013</v>
      </c>
    </row>
    <row r="38" spans="1:8" ht="14.25" customHeight="1" x14ac:dyDescent="0.3">
      <c r="A38" s="127" t="s">
        <v>13</v>
      </c>
      <c r="B38" s="128"/>
      <c r="C38" s="79">
        <f>E38-D38-0.35</f>
        <v>747818.52705338027</v>
      </c>
      <c r="D38" s="20">
        <f t="shared" ref="D38:D43" si="4">E38*10%</f>
        <v>83090.986339264491</v>
      </c>
      <c r="E38" s="22">
        <f t="shared" si="3"/>
        <v>830909.86339264479</v>
      </c>
    </row>
    <row r="39" spans="1:8" ht="14.25" customHeight="1" x14ac:dyDescent="0.3">
      <c r="A39" s="127" t="s">
        <v>14</v>
      </c>
      <c r="B39" s="128"/>
      <c r="C39" s="60">
        <f>E39-D39</f>
        <v>1308408.1382510108</v>
      </c>
      <c r="D39" s="20">
        <f t="shared" si="4"/>
        <v>145378.68202789009</v>
      </c>
      <c r="E39" s="22">
        <f t="shared" si="3"/>
        <v>1453786.8202789009</v>
      </c>
      <c r="G39" t="s">
        <v>50</v>
      </c>
    </row>
    <row r="40" spans="1:8" ht="14.25" customHeight="1" x14ac:dyDescent="0.3">
      <c r="A40" s="127" t="s">
        <v>15</v>
      </c>
      <c r="B40" s="128"/>
      <c r="C40" s="60">
        <f>E40-D40</f>
        <v>3407733.4286154569</v>
      </c>
      <c r="D40" s="20">
        <f t="shared" si="4"/>
        <v>378637.0476239397</v>
      </c>
      <c r="E40" s="22">
        <f t="shared" si="3"/>
        <v>3786370.4762393967</v>
      </c>
    </row>
    <row r="41" spans="1:8" ht="14.25" customHeight="1" x14ac:dyDescent="0.3">
      <c r="A41" s="127" t="s">
        <v>16</v>
      </c>
      <c r="B41" s="128"/>
      <c r="C41" s="79">
        <v>1619678</v>
      </c>
      <c r="D41" s="69">
        <v>179963</v>
      </c>
      <c r="E41" s="22">
        <f t="shared" si="3"/>
        <v>1799641.0067437491</v>
      </c>
    </row>
    <row r="42" spans="1:8" ht="14.25" customHeight="1" x14ac:dyDescent="0.3">
      <c r="A42" s="127" t="s">
        <v>17</v>
      </c>
      <c r="B42" s="128"/>
      <c r="C42" s="79">
        <f>(E42-D42)+0.05</f>
        <v>1297927.8500000001</v>
      </c>
      <c r="D42" s="21">
        <f t="shared" si="4"/>
        <v>144214.20000000001</v>
      </c>
      <c r="E42" s="92">
        <v>1442142</v>
      </c>
    </row>
    <row r="43" spans="1:8" ht="14.25" customHeight="1" x14ac:dyDescent="0.3">
      <c r="A43" s="127" t="s">
        <v>18</v>
      </c>
      <c r="B43" s="128"/>
      <c r="C43" s="79">
        <f>E43-D43-0.1</f>
        <v>659266.63957017555</v>
      </c>
      <c r="D43" s="21">
        <f t="shared" si="4"/>
        <v>73251.859952241735</v>
      </c>
      <c r="E43" s="22">
        <f t="shared" si="3"/>
        <v>732518.59952241729</v>
      </c>
    </row>
    <row r="44" spans="1:8" ht="14.25" customHeight="1" x14ac:dyDescent="0.3">
      <c r="A44" s="127" t="s">
        <v>19</v>
      </c>
      <c r="B44" s="128"/>
      <c r="C44" s="79">
        <v>913757</v>
      </c>
      <c r="D44" s="69">
        <v>101528.1</v>
      </c>
      <c r="E44" s="92">
        <v>1015285</v>
      </c>
    </row>
    <row r="45" spans="1:8" ht="14.25" customHeight="1" x14ac:dyDescent="0.3">
      <c r="A45" s="127" t="s">
        <v>20</v>
      </c>
      <c r="B45" s="128"/>
      <c r="C45" s="77">
        <f>E45-D45</f>
        <v>439875.25756973884</v>
      </c>
      <c r="D45" s="21">
        <f>(E45*10%)</f>
        <v>48875.028618859877</v>
      </c>
      <c r="E45" s="22">
        <f t="shared" si="3"/>
        <v>488750.28618859872</v>
      </c>
    </row>
    <row r="46" spans="1:8" ht="14.25" customHeight="1" x14ac:dyDescent="0.3">
      <c r="A46" s="127" t="s">
        <v>21</v>
      </c>
      <c r="B46" s="128"/>
      <c r="C46" s="93">
        <f>E46-D46-0.4</f>
        <v>497655.5</v>
      </c>
      <c r="D46" s="21">
        <f>E46*10%</f>
        <v>55295.100000000006</v>
      </c>
      <c r="E46" s="92">
        <v>552951</v>
      </c>
    </row>
    <row r="47" spans="1:8" ht="14.25" customHeight="1" thickBot="1" x14ac:dyDescent="0.35">
      <c r="A47" s="133" t="s">
        <v>22</v>
      </c>
      <c r="B47" s="134"/>
      <c r="C47" s="79">
        <f>E47-D47-0.2</f>
        <v>964785.96808671718</v>
      </c>
      <c r="D47" s="69">
        <f>E47*10%+0.5</f>
        <v>107199.01867630192</v>
      </c>
      <c r="E47" s="81">
        <f t="shared" si="3"/>
        <v>1071985.1867630191</v>
      </c>
    </row>
    <row r="48" spans="1:8" ht="14.25" customHeight="1" thickBot="1" x14ac:dyDescent="0.35">
      <c r="A48" s="131" t="s">
        <v>23</v>
      </c>
      <c r="B48" s="132"/>
      <c r="C48" s="65">
        <f>(SUM(C36:C47))</f>
        <v>13456215.540755231</v>
      </c>
      <c r="D48" s="27">
        <f>SUM(D36:D47)</f>
        <v>1495134.5434172479</v>
      </c>
      <c r="E48" s="30">
        <f>SUM(E36:E47)</f>
        <v>14951350.940916227</v>
      </c>
    </row>
  </sheetData>
  <mergeCells count="43">
    <mergeCell ref="A48:B48"/>
    <mergeCell ref="A42:B42"/>
    <mergeCell ref="A43:B43"/>
    <mergeCell ref="A44:B44"/>
    <mergeCell ref="A45:B45"/>
    <mergeCell ref="A46:B46"/>
    <mergeCell ref="A47:B47"/>
    <mergeCell ref="A41:B41"/>
    <mergeCell ref="A28:B28"/>
    <mergeCell ref="A29:B29"/>
    <mergeCell ref="A30:B30"/>
    <mergeCell ref="A31:B31"/>
    <mergeCell ref="A32:B32"/>
    <mergeCell ref="A36:B36"/>
    <mergeCell ref="A37:B37"/>
    <mergeCell ref="A38:B38"/>
    <mergeCell ref="A39:B39"/>
    <mergeCell ref="A40:B40"/>
    <mergeCell ref="C18:E18"/>
    <mergeCell ref="A20:B20"/>
    <mergeCell ref="C34:E34"/>
    <mergeCell ref="A22:B22"/>
    <mergeCell ref="A23:B23"/>
    <mergeCell ref="A24:B24"/>
    <mergeCell ref="A25:B25"/>
    <mergeCell ref="A26:B26"/>
    <mergeCell ref="A27:B27"/>
    <mergeCell ref="A21:B21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A1:B1"/>
    <mergeCell ref="C2:E2"/>
    <mergeCell ref="A4:B4"/>
    <mergeCell ref="A5:B5"/>
    <mergeCell ref="A6:B6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&amp;C&amp;"-,Bold"&amp;12
WIA Adult Local Allocation Summary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352F9A7CB9C4898A9BE191B2E2840" ma:contentTypeVersion="0" ma:contentTypeDescription="Create a new document." ma:contentTypeScope="" ma:versionID="58488324afe645e8c4fc37aed17455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6FC40A6-F039-4708-9FAB-7C52BC6970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1BDB05-89A8-4AF8-8F73-880983963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F08D94-DAB1-44DD-92AE-993CA65207A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Adult Allocation by WDA</vt:lpstr>
      <vt:lpstr>Adult Allocation by WDA - Oct</vt:lpstr>
      <vt:lpstr>Adult Allocation Summary</vt:lpstr>
      <vt:lpstr>Sheet3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dfussell</dc:creator>
  <cp:lastModifiedBy>dfussell</cp:lastModifiedBy>
  <cp:lastPrinted>2012-09-19T15:57:19Z</cp:lastPrinted>
  <dcterms:created xsi:type="dcterms:W3CDTF">2012-09-18T22:11:37Z</dcterms:created>
  <dcterms:modified xsi:type="dcterms:W3CDTF">2017-05-18T18:07:16Z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0x01010011A352F9A7CB9C4898A9BE191B2E2840</vt:lpwstr>
  </property>
</Properties>
</file>