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\users\DFussell\Desktop\"/>
    </mc:Choice>
  </mc:AlternateContent>
  <bookViews>
    <workbookView xWindow="360" yWindow="360" windowWidth="18792" windowHeight="11640" firstSheet="4" activeTab="5"/>
  </bookViews>
  <sheets>
    <sheet name="Planning Allocations" sheetId="1" r:id="rId1"/>
    <sheet name="Adult Allocation by WDA" sheetId="2" r:id="rId2"/>
    <sheet name="Adult Allocation Summary" sheetId="3" r:id="rId3"/>
    <sheet name="Adult Allocation by County" sheetId="4" r:id="rId4"/>
    <sheet name="DW Allocation by WDA" sheetId="5" r:id="rId5"/>
    <sheet name="DW Allocation Summary" sheetId="6" r:id="rId6"/>
    <sheet name="DW Allocation by County" sheetId="7" r:id="rId7"/>
  </sheets>
  <externalReferences>
    <externalReference r:id="rId8"/>
  </externalReferences>
  <definedNames>
    <definedName name="_xlnm.Print_Area" localSheetId="0">'Planning Allocations'!$A$1:$G$41</definedName>
  </definedNames>
  <calcPr calcId="152511"/>
</workbook>
</file>

<file path=xl/calcChain.xml><?xml version="1.0" encoding="utf-8"?>
<calcChain xmlns="http://schemas.openxmlformats.org/spreadsheetml/2006/main">
  <c r="G23" i="5" l="1"/>
  <c r="G20" i="1"/>
  <c r="G22" i="1"/>
  <c r="G23" i="1"/>
  <c r="E51" i="7" l="1"/>
  <c r="F49" i="7"/>
  <c r="F36" i="7"/>
  <c r="F31" i="7"/>
  <c r="F21" i="7"/>
  <c r="F20" i="7"/>
  <c r="F19" i="7"/>
  <c r="F18" i="7"/>
  <c r="F12" i="7"/>
  <c r="F6" i="7"/>
  <c r="B1" i="7"/>
  <c r="D16" i="6"/>
  <c r="D15" i="6"/>
  <c r="C16" i="6"/>
  <c r="C15" i="6"/>
  <c r="C9" i="6"/>
  <c r="C5" i="6"/>
  <c r="F51" i="7" l="1"/>
  <c r="F25" i="7"/>
  <c r="F46" i="7"/>
  <c r="F5" i="7"/>
  <c r="F7" i="7"/>
  <c r="F9" i="7"/>
  <c r="F11" i="7"/>
  <c r="F13" i="7"/>
  <c r="F16" i="7"/>
  <c r="F17" i="7"/>
  <c r="F4" i="7"/>
  <c r="F8" i="7"/>
  <c r="F14" i="7"/>
  <c r="F22" i="7"/>
  <c r="F26" i="7"/>
  <c r="F32" i="7"/>
  <c r="F37" i="7"/>
  <c r="F47" i="7"/>
  <c r="F50" i="7"/>
  <c r="F10" i="7"/>
  <c r="F15" i="7"/>
  <c r="F23" i="7"/>
  <c r="F24" i="7"/>
  <c r="F27" i="7"/>
  <c r="F28" i="7"/>
  <c r="F29" i="7"/>
  <c r="F30" i="7"/>
  <c r="F33" i="7"/>
  <c r="F34" i="7"/>
  <c r="F35" i="7"/>
  <c r="F38" i="7"/>
  <c r="F39" i="7"/>
  <c r="F40" i="7"/>
  <c r="F41" i="7"/>
  <c r="F42" i="7"/>
  <c r="F43" i="7"/>
  <c r="F44" i="7"/>
  <c r="F45" i="7"/>
  <c r="F48" i="7"/>
  <c r="H32" i="6" l="1"/>
  <c r="F32" i="6"/>
  <c r="I30" i="6"/>
  <c r="I28" i="6"/>
  <c r="I26" i="6"/>
  <c r="I24" i="6"/>
  <c r="I22" i="6"/>
  <c r="C1" i="6"/>
  <c r="G25" i="5"/>
  <c r="G26" i="5"/>
  <c r="G27" i="5"/>
  <c r="G28" i="5"/>
  <c r="G29" i="5"/>
  <c r="G30" i="5"/>
  <c r="G31" i="5"/>
  <c r="G32" i="5"/>
  <c r="G33" i="5"/>
  <c r="G34" i="5"/>
  <c r="G24" i="5"/>
  <c r="E35" i="5"/>
  <c r="E51" i="4"/>
  <c r="D50" i="4"/>
  <c r="B50" i="4"/>
  <c r="B49" i="4"/>
  <c r="B48" i="4"/>
  <c r="C48" i="4" s="1"/>
  <c r="D47" i="4"/>
  <c r="F47" i="4" s="1"/>
  <c r="B47" i="4"/>
  <c r="C47" i="4" s="1"/>
  <c r="B46" i="4"/>
  <c r="B45" i="4"/>
  <c r="B44" i="4"/>
  <c r="B43" i="4"/>
  <c r="B42" i="4"/>
  <c r="B41" i="4"/>
  <c r="B40" i="4"/>
  <c r="B39" i="4"/>
  <c r="C39" i="4" s="1"/>
  <c r="B38" i="4"/>
  <c r="D37" i="4"/>
  <c r="F37" i="4" s="1"/>
  <c r="B37" i="4"/>
  <c r="B36" i="4"/>
  <c r="B35" i="4"/>
  <c r="B34" i="4"/>
  <c r="B33" i="4"/>
  <c r="D32" i="4"/>
  <c r="F32" i="4" s="1"/>
  <c r="B32" i="4"/>
  <c r="B31" i="4"/>
  <c r="B30" i="4"/>
  <c r="B29" i="4"/>
  <c r="B28" i="4"/>
  <c r="B27" i="4"/>
  <c r="C27" i="4" s="1"/>
  <c r="D26" i="4"/>
  <c r="B26" i="4"/>
  <c r="C26" i="4" s="1"/>
  <c r="B25" i="4"/>
  <c r="B24" i="4"/>
  <c r="C24" i="4" s="1"/>
  <c r="B23" i="4"/>
  <c r="D22" i="4"/>
  <c r="F22" i="4" s="1"/>
  <c r="B22" i="4"/>
  <c r="D21" i="4"/>
  <c r="F21" i="4" s="1"/>
  <c r="B21" i="4"/>
  <c r="C21" i="4" s="1"/>
  <c r="D20" i="4"/>
  <c r="F20" i="4" s="1"/>
  <c r="B20" i="4"/>
  <c r="C20" i="4" s="1"/>
  <c r="D19" i="4"/>
  <c r="F19" i="4" s="1"/>
  <c r="B19" i="4"/>
  <c r="C19" i="4" s="1"/>
  <c r="B18" i="4"/>
  <c r="B17" i="4"/>
  <c r="B16" i="4"/>
  <c r="C16" i="4" s="1"/>
  <c r="B15" i="4"/>
  <c r="D14" i="4"/>
  <c r="F14" i="4" s="1"/>
  <c r="B14" i="4"/>
  <c r="C14" i="4" s="1"/>
  <c r="B13" i="4"/>
  <c r="B12" i="4"/>
  <c r="B11" i="4"/>
  <c r="B10" i="4"/>
  <c r="B9" i="4"/>
  <c r="C9" i="4" s="1"/>
  <c r="D8" i="4"/>
  <c r="B8" i="4"/>
  <c r="C8" i="4" s="1"/>
  <c r="B7" i="4"/>
  <c r="B6" i="4"/>
  <c r="C6" i="4" s="1"/>
  <c r="B5" i="4"/>
  <c r="D4" i="4"/>
  <c r="F4" i="4" s="1"/>
  <c r="B4" i="4"/>
  <c r="B1" i="4"/>
  <c r="H32" i="3"/>
  <c r="F32" i="3"/>
  <c r="E31" i="3"/>
  <c r="D31" i="3" s="1"/>
  <c r="C31" i="3" s="1"/>
  <c r="G31" i="3" s="1"/>
  <c r="E30" i="3"/>
  <c r="D30" i="3" s="1"/>
  <c r="C30" i="3" s="1"/>
  <c r="G30" i="3" s="1"/>
  <c r="E29" i="3"/>
  <c r="D29" i="3" s="1"/>
  <c r="C29" i="3" s="1"/>
  <c r="G29" i="3" s="1"/>
  <c r="E28" i="3"/>
  <c r="D28" i="3" s="1"/>
  <c r="C28" i="3" s="1"/>
  <c r="G28" i="3" s="1"/>
  <c r="E27" i="3"/>
  <c r="D27" i="3" s="1"/>
  <c r="C27" i="3" s="1"/>
  <c r="G27" i="3" s="1"/>
  <c r="E26" i="3"/>
  <c r="D26" i="3" s="1"/>
  <c r="C26" i="3" s="1"/>
  <c r="G26" i="3" s="1"/>
  <c r="E25" i="3"/>
  <c r="D25" i="3" s="1"/>
  <c r="C25" i="3" s="1"/>
  <c r="G25" i="3" s="1"/>
  <c r="E24" i="3"/>
  <c r="D24" i="3" s="1"/>
  <c r="C24" i="3" s="1"/>
  <c r="G24" i="3" s="1"/>
  <c r="E23" i="3"/>
  <c r="D23" i="3" s="1"/>
  <c r="C23" i="3" s="1"/>
  <c r="G23" i="3" s="1"/>
  <c r="E22" i="3"/>
  <c r="D22" i="3" s="1"/>
  <c r="C22" i="3" s="1"/>
  <c r="G22" i="3" s="1"/>
  <c r="E21" i="3"/>
  <c r="D21" i="3"/>
  <c r="C21" i="3" s="1"/>
  <c r="G21" i="3" s="1"/>
  <c r="E20" i="3"/>
  <c r="E32" i="3" s="1"/>
  <c r="E15" i="3"/>
  <c r="E48" i="3" s="1"/>
  <c r="E14" i="3"/>
  <c r="E47" i="3" s="1"/>
  <c r="E13" i="3"/>
  <c r="E46" i="3" s="1"/>
  <c r="E12" i="3"/>
  <c r="D12" i="3" s="1"/>
  <c r="C12" i="3" s="1"/>
  <c r="E11" i="3"/>
  <c r="E44" i="3" s="1"/>
  <c r="E10" i="3"/>
  <c r="D10" i="3" s="1"/>
  <c r="C10" i="3" s="1"/>
  <c r="E9" i="3"/>
  <c r="E42" i="3" s="1"/>
  <c r="E8" i="3"/>
  <c r="E41" i="3" s="1"/>
  <c r="E7" i="3"/>
  <c r="E6" i="3"/>
  <c r="E39" i="3" s="1"/>
  <c r="E5" i="3"/>
  <c r="E38" i="3" s="1"/>
  <c r="E4" i="3"/>
  <c r="E37" i="3" s="1"/>
  <c r="C1" i="3"/>
  <c r="H24" i="2"/>
  <c r="H25" i="2"/>
  <c r="H26" i="2"/>
  <c r="H27" i="2"/>
  <c r="H28" i="2"/>
  <c r="H29" i="2"/>
  <c r="H30" i="2"/>
  <c r="H31" i="2"/>
  <c r="H32" i="2"/>
  <c r="H33" i="2"/>
  <c r="H34" i="2"/>
  <c r="H23" i="2"/>
  <c r="F35" i="2"/>
  <c r="C22" i="1"/>
  <c r="B22" i="1"/>
  <c r="E21" i="1"/>
  <c r="G21" i="1" s="1"/>
  <c r="E19" i="1"/>
  <c r="D19" i="1"/>
  <c r="C19" i="1"/>
  <c r="C16" i="1"/>
  <c r="B16" i="1"/>
  <c r="B15" i="1"/>
  <c r="B14" i="1"/>
  <c r="D13" i="1"/>
  <c r="D15" i="1" s="1"/>
  <c r="C15" i="1" s="1"/>
  <c r="C13" i="1"/>
  <c r="C10" i="1"/>
  <c r="B10" i="1"/>
  <c r="B9" i="1"/>
  <c r="B8" i="1"/>
  <c r="E7" i="1"/>
  <c r="E9" i="1" s="1"/>
  <c r="D7" i="1"/>
  <c r="D9" i="1" s="1"/>
  <c r="C7" i="1"/>
  <c r="C1" i="1"/>
  <c r="C4" i="4" l="1"/>
  <c r="H35" i="2"/>
  <c r="E40" i="3"/>
  <c r="C34" i="4"/>
  <c r="D14" i="1"/>
  <c r="C14" i="1" s="1"/>
  <c r="C24" i="1"/>
  <c r="E24" i="1"/>
  <c r="C5" i="4"/>
  <c r="C7" i="4"/>
  <c r="C10" i="4"/>
  <c r="D10" i="4" s="1"/>
  <c r="F10" i="4" s="1"/>
  <c r="C12" i="4"/>
  <c r="C15" i="4"/>
  <c r="C17" i="4"/>
  <c r="C22" i="4"/>
  <c r="C23" i="4"/>
  <c r="C25" i="4"/>
  <c r="C28" i="4"/>
  <c r="C30" i="4"/>
  <c r="C32" i="4"/>
  <c r="C33" i="4"/>
  <c r="C35" i="4"/>
  <c r="C37" i="4"/>
  <c r="C38" i="4"/>
  <c r="C40" i="4"/>
  <c r="C42" i="4"/>
  <c r="D42" i="4" s="1"/>
  <c r="F42" i="4" s="1"/>
  <c r="C44" i="4"/>
  <c r="C46" i="4"/>
  <c r="D46" i="4" s="1"/>
  <c r="F46" i="4" s="1"/>
  <c r="D51" i="4"/>
  <c r="F51" i="4" s="1"/>
  <c r="F50" i="4"/>
  <c r="F26" i="4"/>
  <c r="F8" i="4"/>
  <c r="D24" i="1"/>
  <c r="D20" i="1"/>
  <c r="C20" i="1" s="1"/>
  <c r="D7" i="4"/>
  <c r="F7" i="4" s="1"/>
  <c r="C11" i="4"/>
  <c r="C13" i="4"/>
  <c r="D13" i="4" s="1"/>
  <c r="F13" i="4" s="1"/>
  <c r="D17" i="4"/>
  <c r="F17" i="4" s="1"/>
  <c r="C18" i="4"/>
  <c r="D25" i="4"/>
  <c r="F25" i="4" s="1"/>
  <c r="C29" i="4"/>
  <c r="C31" i="4"/>
  <c r="D31" i="4" s="1"/>
  <c r="F31" i="4" s="1"/>
  <c r="D35" i="4"/>
  <c r="F35" i="4" s="1"/>
  <c r="C36" i="4"/>
  <c r="D36" i="4" s="1"/>
  <c r="F36" i="4" s="1"/>
  <c r="B51" i="4"/>
  <c r="I21" i="3"/>
  <c r="I30" i="3"/>
  <c r="I28" i="3"/>
  <c r="I26" i="3"/>
  <c r="I24" i="3"/>
  <c r="I22" i="3"/>
  <c r="I31" i="3"/>
  <c r="I29" i="3"/>
  <c r="I27" i="3"/>
  <c r="I25" i="3"/>
  <c r="I23" i="3"/>
  <c r="I20" i="6"/>
  <c r="I23" i="6"/>
  <c r="G23" i="6"/>
  <c r="I27" i="6"/>
  <c r="G27" i="6"/>
  <c r="I31" i="6"/>
  <c r="G31" i="6"/>
  <c r="I21" i="6"/>
  <c r="G21" i="6"/>
  <c r="I25" i="6"/>
  <c r="G25" i="6"/>
  <c r="I29" i="6"/>
  <c r="G29" i="6"/>
  <c r="G22" i="6"/>
  <c r="G24" i="6"/>
  <c r="G26" i="6"/>
  <c r="G28" i="6"/>
  <c r="G30" i="6"/>
  <c r="G35" i="5"/>
  <c r="D6" i="4"/>
  <c r="F6" i="4" s="1"/>
  <c r="D12" i="4"/>
  <c r="F12" i="4" s="1"/>
  <c r="D16" i="4"/>
  <c r="F16" i="4" s="1"/>
  <c r="D18" i="4"/>
  <c r="F18" i="4" s="1"/>
  <c r="D24" i="4"/>
  <c r="F24" i="4" s="1"/>
  <c r="D28" i="4"/>
  <c r="F28" i="4" s="1"/>
  <c r="D30" i="4"/>
  <c r="F30" i="4" s="1"/>
  <c r="D34" i="4"/>
  <c r="F34" i="4" s="1"/>
  <c r="D38" i="4"/>
  <c r="F38" i="4" s="1"/>
  <c r="D40" i="4"/>
  <c r="F40" i="4" s="1"/>
  <c r="C41" i="4"/>
  <c r="D41" i="4" s="1"/>
  <c r="F41" i="4" s="1"/>
  <c r="C43" i="4"/>
  <c r="D44" i="4"/>
  <c r="F44" i="4" s="1"/>
  <c r="C45" i="4"/>
  <c r="D45" i="4" s="1"/>
  <c r="F45" i="4" s="1"/>
  <c r="D48" i="4"/>
  <c r="F48" i="4" s="1"/>
  <c r="C49" i="4"/>
  <c r="D49" i="4" s="1"/>
  <c r="F49" i="4" s="1"/>
  <c r="D5" i="4"/>
  <c r="F5" i="4" s="1"/>
  <c r="D9" i="4"/>
  <c r="F9" i="4" s="1"/>
  <c r="D11" i="4"/>
  <c r="F11" i="4" s="1"/>
  <c r="D15" i="4"/>
  <c r="F15" i="4" s="1"/>
  <c r="D23" i="4"/>
  <c r="F23" i="4" s="1"/>
  <c r="D27" i="4"/>
  <c r="F27" i="4" s="1"/>
  <c r="D29" i="4"/>
  <c r="F29" i="4" s="1"/>
  <c r="D33" i="4"/>
  <c r="F33" i="4" s="1"/>
  <c r="D39" i="4"/>
  <c r="F39" i="4" s="1"/>
  <c r="D43" i="4"/>
  <c r="F43" i="4" s="1"/>
  <c r="C50" i="4"/>
  <c r="D8" i="3"/>
  <c r="C8" i="3" s="1"/>
  <c r="D11" i="3"/>
  <c r="C11" i="3" s="1"/>
  <c r="D14" i="3"/>
  <c r="C14" i="3" s="1"/>
  <c r="D6" i="3"/>
  <c r="C6" i="3" s="1"/>
  <c r="D4" i="3"/>
  <c r="C4" i="3" s="1"/>
  <c r="D38" i="3"/>
  <c r="D39" i="3"/>
  <c r="D42" i="3"/>
  <c r="D48" i="3"/>
  <c r="D37" i="3"/>
  <c r="D40" i="3"/>
  <c r="D41" i="3"/>
  <c r="D44" i="3"/>
  <c r="D46" i="3"/>
  <c r="D47" i="3"/>
  <c r="D5" i="3"/>
  <c r="C5" i="3" s="1"/>
  <c r="D7" i="3"/>
  <c r="C7" i="3" s="1"/>
  <c r="D9" i="3"/>
  <c r="C9" i="3" s="1"/>
  <c r="D13" i="3"/>
  <c r="C13" i="3" s="1"/>
  <c r="D15" i="3"/>
  <c r="C15" i="3" s="1"/>
  <c r="E16" i="3"/>
  <c r="D20" i="3"/>
  <c r="I20" i="3" s="1"/>
  <c r="E43" i="3"/>
  <c r="E45" i="3"/>
  <c r="C9" i="1"/>
  <c r="D8" i="1"/>
  <c r="D23" i="1"/>
  <c r="C23" i="1" s="1"/>
  <c r="E8" i="1"/>
  <c r="D21" i="1"/>
  <c r="C21" i="1" s="1"/>
  <c r="I32" i="3" l="1"/>
  <c r="I32" i="6"/>
  <c r="C47" i="3"/>
  <c r="C44" i="3"/>
  <c r="C40" i="3"/>
  <c r="C42" i="3"/>
  <c r="C38" i="3"/>
  <c r="C46" i="3"/>
  <c r="C41" i="3"/>
  <c r="C48" i="3"/>
  <c r="C39" i="3"/>
  <c r="C37" i="3"/>
  <c r="G20" i="6"/>
  <c r="G32" i="6" s="1"/>
  <c r="D43" i="3"/>
  <c r="C16" i="3"/>
  <c r="E49" i="3"/>
  <c r="D16" i="3"/>
  <c r="D45" i="3"/>
  <c r="C20" i="3"/>
  <c r="D32" i="3"/>
  <c r="C8" i="1"/>
  <c r="C32" i="3" l="1"/>
  <c r="G20" i="3"/>
  <c r="G32" i="3" s="1"/>
  <c r="C45" i="3"/>
  <c r="C49" i="3" s="1"/>
  <c r="C43" i="3"/>
  <c r="D49" i="3"/>
</calcChain>
</file>

<file path=xl/sharedStrings.xml><?xml version="1.0" encoding="utf-8"?>
<sst xmlns="http://schemas.openxmlformats.org/spreadsheetml/2006/main" count="382" uniqueCount="100">
  <si>
    <t>Program Year:</t>
  </si>
  <si>
    <t>Actual In-State Allocations</t>
  </si>
  <si>
    <t>Adult</t>
  </si>
  <si>
    <t>Allocation Percentage</t>
  </si>
  <si>
    <t>Total Allocation</t>
  </si>
  <si>
    <r>
      <t xml:space="preserve">PY Allocation </t>
    </r>
    <r>
      <rPr>
        <i/>
        <sz val="11"/>
        <color theme="1"/>
        <rFont val="Calibri"/>
        <family val="2"/>
        <scheme val="minor"/>
      </rPr>
      <t>(July 1st)</t>
    </r>
  </si>
  <si>
    <r>
      <t xml:space="preserve">FY Allocation </t>
    </r>
    <r>
      <rPr>
        <i/>
        <sz val="11"/>
        <color theme="1"/>
        <rFont val="Calibri"/>
        <family val="2"/>
        <scheme val="minor"/>
      </rPr>
      <t>(October 1st)</t>
    </r>
  </si>
  <si>
    <t>Adult Allocation</t>
  </si>
  <si>
    <t xml:space="preserve">Local </t>
  </si>
  <si>
    <t xml:space="preserve">Admin </t>
  </si>
  <si>
    <t>Other</t>
  </si>
  <si>
    <t>Youth</t>
  </si>
  <si>
    <t>Youth Allocation</t>
  </si>
  <si>
    <t>Dislocated Worker</t>
  </si>
  <si>
    <t>DW Allocation</t>
  </si>
  <si>
    <t>RR</t>
  </si>
  <si>
    <t>State Totals:</t>
  </si>
  <si>
    <t>Notes:</t>
  </si>
  <si>
    <t>Comparison to Original</t>
  </si>
  <si>
    <t>Original FY Allocation</t>
  </si>
  <si>
    <t>Difference in Revision</t>
  </si>
  <si>
    <t xml:space="preserve">DW -  Includes $3M transferred from RR to Local allocation for October 1 distribution.                                       Governor's 10% funds transferred to Local allocations.                     1.503% recission applied to October allocations. </t>
  </si>
  <si>
    <t>1 - Olympic</t>
  </si>
  <si>
    <t>2 - Pac Mountain</t>
  </si>
  <si>
    <t>3 - Northwest</t>
  </si>
  <si>
    <t>4 - Snohomish</t>
  </si>
  <si>
    <t>5 - Seattle-King</t>
  </si>
  <si>
    <t>6 - Tacoma-Pierce</t>
  </si>
  <si>
    <t>7 - Southwest</t>
  </si>
  <si>
    <t>8 - North Central</t>
  </si>
  <si>
    <t>9 - South Central</t>
  </si>
  <si>
    <t>10 - Eastern</t>
  </si>
  <si>
    <t>11 - Benton-Franklin</t>
  </si>
  <si>
    <t>12 - Spokane</t>
  </si>
  <si>
    <t>TOTALS</t>
  </si>
  <si>
    <t>FINAL ALLOCATION</t>
  </si>
  <si>
    <t>Hold Harmless</t>
  </si>
  <si>
    <t>After HH Adj. $</t>
  </si>
  <si>
    <t>After HH          Adj. %</t>
  </si>
  <si>
    <t>Level Minimum</t>
  </si>
  <si>
    <t>Requirement</t>
  </si>
  <si>
    <t>FINAL TOTAL ALLOCATION</t>
  </si>
  <si>
    <t>JULY ALLOCATION</t>
  </si>
  <si>
    <t>REVISED OCTOBER ALLOCATION</t>
  </si>
  <si>
    <t xml:space="preserve">TOTAL REVISED ALLOCATION </t>
  </si>
  <si>
    <t>Adult Allocation - July 1st</t>
  </si>
  <si>
    <t>Program</t>
  </si>
  <si>
    <t>Cost Pool</t>
  </si>
  <si>
    <t>Total</t>
  </si>
  <si>
    <t xml:space="preserve">  </t>
  </si>
  <si>
    <t xml:space="preserve"> </t>
  </si>
  <si>
    <t>Adult Allocation - October 1st</t>
  </si>
  <si>
    <t>Total Adult Allocation</t>
  </si>
  <si>
    <t>Original Program Allocation</t>
  </si>
  <si>
    <t>Original Cost Pool</t>
  </si>
  <si>
    <t>% of State Allotment</t>
  </si>
  <si>
    <t>% of WDA Allotment</t>
  </si>
  <si>
    <t>County Allocation</t>
  </si>
  <si>
    <t>Clallam</t>
  </si>
  <si>
    <t>Jefferson</t>
  </si>
  <si>
    <t>Kitsap</t>
  </si>
  <si>
    <t>Grays Harbor</t>
  </si>
  <si>
    <t>Lewis</t>
  </si>
  <si>
    <t>Mason</t>
  </si>
  <si>
    <t>Pacific</t>
  </si>
  <si>
    <t>Thurston</t>
  </si>
  <si>
    <t>Island</t>
  </si>
  <si>
    <t>San Juan</t>
  </si>
  <si>
    <t>Skagit</t>
  </si>
  <si>
    <t>Whatcom</t>
  </si>
  <si>
    <t>Clark</t>
  </si>
  <si>
    <t>Cowlitz</t>
  </si>
  <si>
    <t>Wahkiakum</t>
  </si>
  <si>
    <t>Adams</t>
  </si>
  <si>
    <t>Chelan</t>
  </si>
  <si>
    <t>Douglas</t>
  </si>
  <si>
    <t>Grant</t>
  </si>
  <si>
    <t>Okanogan</t>
  </si>
  <si>
    <t>Kittitas</t>
  </si>
  <si>
    <t>Klickitat</t>
  </si>
  <si>
    <t>Skamania</t>
  </si>
  <si>
    <t>Yakima</t>
  </si>
  <si>
    <t>Asotin</t>
  </si>
  <si>
    <t>Columbia</t>
  </si>
  <si>
    <t>Ferry</t>
  </si>
  <si>
    <t>Garfield</t>
  </si>
  <si>
    <t>Lincoln</t>
  </si>
  <si>
    <t>Pend Oreille</t>
  </si>
  <si>
    <t>Stevens</t>
  </si>
  <si>
    <t>Walla Walla</t>
  </si>
  <si>
    <t>Whitman</t>
  </si>
  <si>
    <t>Benton</t>
  </si>
  <si>
    <t>Franklin</t>
  </si>
  <si>
    <t>Original County Allocation</t>
  </si>
  <si>
    <t>Comparison to Revision</t>
  </si>
  <si>
    <t>% Share</t>
  </si>
  <si>
    <t>Allocation</t>
  </si>
  <si>
    <t>Dislocated Worker Allocation - July 1st</t>
  </si>
  <si>
    <t>Dislocated Worker Allocation - October 1st</t>
  </si>
  <si>
    <t>Total Dislocated Worker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</si>
</sst>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%"/>
    <numFmt numFmtId="167" formatCode="0.00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indexed="20"/>
      <name val="Arial"/>
      <family val="2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Up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30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 applyAlignment="1"/>
    <xf numFmtId="0" fontId="6" fillId="0" borderId="0" xfId="3" applyFont="1" applyBorder="1"/>
    <xf numFmtId="164" fontId="6" fillId="0" borderId="0" xfId="4" applyNumberFormat="1" applyFont="1" applyBorder="1"/>
    <xf numFmtId="42" fontId="6" fillId="0" borderId="0" xfId="4" applyNumberFormat="1" applyFont="1" applyBorder="1"/>
    <xf numFmtId="42" fontId="6" fillId="0" borderId="0" xfId="3" applyNumberFormat="1" applyFont="1" applyBorder="1" applyAlignment="1">
      <alignment horizontal="center"/>
    </xf>
    <xf numFmtId="0" fontId="0" fillId="3" borderId="4" xfId="0" applyFill="1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5" fontId="6" fillId="0" borderId="0" xfId="4" applyNumberFormat="1" applyFont="1" applyBorder="1"/>
    <xf numFmtId="9" fontId="8" fillId="0" borderId="0" xfId="0" applyNumberFormat="1" applyFont="1" applyAlignment="1">
      <alignment horizontal="center"/>
    </xf>
    <xf numFmtId="164" fontId="2" fillId="4" borderId="0" xfId="0" applyNumberFormat="1" applyFont="1" applyFill="1" applyBorder="1" applyAlignment="1">
      <alignment horizontal="center" vertical="top"/>
    </xf>
    <xf numFmtId="164" fontId="2" fillId="4" borderId="0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166" fontId="0" fillId="0" borderId="7" xfId="2" applyNumberFormat="1" applyFont="1" applyBorder="1" applyAlignment="1">
      <alignment horizontal="center"/>
    </xf>
    <xf numFmtId="164" fontId="0" fillId="0" borderId="0" xfId="1" applyNumberFormat="1" applyFont="1" applyBorder="1"/>
    <xf numFmtId="164" fontId="0" fillId="0" borderId="7" xfId="1" applyNumberFormat="1" applyFont="1" applyBorder="1"/>
    <xf numFmtId="16" fontId="6" fillId="0" borderId="0" xfId="3" applyNumberFormat="1" applyFont="1" applyFill="1" applyBorder="1"/>
    <xf numFmtId="0" fontId="0" fillId="0" borderId="9" xfId="0" applyBorder="1"/>
    <xf numFmtId="166" fontId="0" fillId="0" borderId="10" xfId="2" applyNumberFormat="1" applyFont="1" applyBorder="1" applyAlignment="1">
      <alignment horizontal="center"/>
    </xf>
    <xf numFmtId="164" fontId="0" fillId="0" borderId="11" xfId="1" applyNumberFormat="1" applyFont="1" applyBorder="1"/>
    <xf numFmtId="44" fontId="0" fillId="0" borderId="11" xfId="1" applyFont="1" applyBorder="1"/>
    <xf numFmtId="164" fontId="0" fillId="0" borderId="10" xfId="1" applyNumberFormat="1" applyFont="1" applyBorder="1"/>
    <xf numFmtId="164" fontId="0" fillId="0" borderId="0" xfId="0" applyNumberFormat="1" applyBorder="1"/>
    <xf numFmtId="0" fontId="0" fillId="0" borderId="7" xfId="0" applyBorder="1"/>
    <xf numFmtId="0" fontId="0" fillId="0" borderId="10" xfId="0" applyBorder="1"/>
    <xf numFmtId="164" fontId="2" fillId="5" borderId="6" xfId="1" applyNumberFormat="1" applyFont="1" applyFill="1" applyBorder="1"/>
    <xf numFmtId="164" fontId="2" fillId="5" borderId="5" xfId="1" applyNumberFormat="1" applyFont="1" applyFill="1" applyBorder="1"/>
    <xf numFmtId="0" fontId="0" fillId="0" borderId="11" xfId="0" applyBorder="1"/>
    <xf numFmtId="0" fontId="0" fillId="8" borderId="1" xfId="0" applyFill="1" applyBorder="1"/>
    <xf numFmtId="0" fontId="0" fillId="8" borderId="3" xfId="0" applyFill="1" applyBorder="1"/>
    <xf numFmtId="0" fontId="0" fillId="0" borderId="0" xfId="0"/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64" fontId="0" fillId="0" borderId="7" xfId="0" applyNumberFormat="1" applyBorder="1"/>
    <xf numFmtId="164" fontId="0" fillId="0" borderId="10" xfId="0" applyNumberFormat="1" applyBorder="1"/>
    <xf numFmtId="164" fontId="2" fillId="4" borderId="3" xfId="0" applyNumberFormat="1" applyFont="1" applyFill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2" fillId="4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64" fontId="0" fillId="0" borderId="7" xfId="0" applyNumberFormat="1" applyBorder="1"/>
    <xf numFmtId="164" fontId="0" fillId="0" borderId="10" xfId="0" applyNumberFormat="1" applyBorder="1"/>
    <xf numFmtId="164" fontId="2" fillId="4" borderId="3" xfId="0" applyNumberFormat="1" applyFont="1" applyFill="1" applyBorder="1"/>
    <xf numFmtId="0" fontId="0" fillId="0" borderId="0" xfId="0"/>
    <xf numFmtId="164" fontId="2" fillId="4" borderId="7" xfId="0" applyNumberFormat="1" applyFont="1" applyFill="1" applyBorder="1" applyAlignment="1">
      <alignment horizontal="center" vertical="center" wrapText="1"/>
    </xf>
    <xf numFmtId="0" fontId="0" fillId="8" borderId="8" xfId="0" applyFill="1" applyBorder="1"/>
    <xf numFmtId="0" fontId="0" fillId="8" borderId="7" xfId="0" applyFill="1" applyBorder="1"/>
    <xf numFmtId="164" fontId="0" fillId="0" borderId="15" xfId="0" applyNumberFormat="1" applyBorder="1"/>
    <xf numFmtId="164" fontId="0" fillId="0" borderId="17" xfId="0" applyNumberFormat="1" applyBorder="1"/>
    <xf numFmtId="164" fontId="0" fillId="0" borderId="19" xfId="0" applyNumberFormat="1" applyBorder="1"/>
    <xf numFmtId="164" fontId="2" fillId="0" borderId="25" xfId="0" applyNumberFormat="1" applyFont="1" applyBorder="1"/>
    <xf numFmtId="164" fontId="10" fillId="0" borderId="7" xfId="1" applyNumberFormat="1" applyFont="1" applyBorder="1"/>
    <xf numFmtId="164" fontId="10" fillId="0" borderId="0" xfId="1" applyNumberFormat="1" applyFont="1" applyBorder="1"/>
    <xf numFmtId="164" fontId="10" fillId="0" borderId="10" xfId="1" applyNumberFormat="1" applyFont="1" applyBorder="1"/>
    <xf numFmtId="164" fontId="10" fillId="0" borderId="11" xfId="1" applyNumberFormat="1" applyFont="1" applyBorder="1"/>
    <xf numFmtId="0" fontId="2" fillId="2" borderId="0" xfId="0" applyFont="1" applyFill="1"/>
    <xf numFmtId="167" fontId="0" fillId="0" borderId="18" xfId="2" applyNumberFormat="1" applyFont="1" applyBorder="1"/>
    <xf numFmtId="0" fontId="9" fillId="8" borderId="1" xfId="0" applyFont="1" applyFill="1" applyBorder="1" applyAlignment="1"/>
    <xf numFmtId="0" fontId="9" fillId="8" borderId="3" xfId="0" applyFont="1" applyFill="1" applyBorder="1" applyAlignment="1"/>
    <xf numFmtId="167" fontId="0" fillId="0" borderId="16" xfId="2" applyNumberFormat="1" applyFont="1" applyBorder="1"/>
    <xf numFmtId="167" fontId="0" fillId="0" borderId="20" xfId="2" applyNumberFormat="1" applyFont="1" applyBorder="1"/>
    <xf numFmtId="9" fontId="2" fillId="0" borderId="26" xfId="2" applyNumberFormat="1" applyFont="1" applyBorder="1"/>
    <xf numFmtId="164" fontId="0" fillId="9" borderId="21" xfId="1" applyNumberFormat="1" applyFont="1" applyFill="1" applyBorder="1"/>
    <xf numFmtId="164" fontId="0" fillId="9" borderId="22" xfId="1" applyNumberFormat="1" applyFont="1" applyFill="1" applyBorder="1"/>
    <xf numFmtId="164" fontId="0" fillId="9" borderId="23" xfId="1" applyNumberFormat="1" applyFont="1" applyFill="1" applyBorder="1"/>
    <xf numFmtId="164" fontId="2" fillId="9" borderId="10" xfId="1" applyNumberFormat="1" applyFont="1" applyFill="1" applyBorder="1"/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164" fontId="10" fillId="0" borderId="30" xfId="0" applyNumberFormat="1" applyFont="1" applyBorder="1"/>
    <xf numFmtId="164" fontId="0" fillId="0" borderId="16" xfId="1" applyNumberFormat="1" applyFont="1" applyBorder="1"/>
    <xf numFmtId="164" fontId="10" fillId="0" borderId="31" xfId="0" applyNumberFormat="1" applyFont="1" applyBorder="1"/>
    <xf numFmtId="164" fontId="0" fillId="0" borderId="18" xfId="1" applyNumberFormat="1" applyFont="1" applyBorder="1"/>
    <xf numFmtId="164" fontId="2" fillId="0" borderId="32" xfId="0" applyNumberFormat="1" applyFont="1" applyBorder="1"/>
    <xf numFmtId="164" fontId="2" fillId="0" borderId="26" xfId="0" applyNumberFormat="1" applyFont="1" applyBorder="1"/>
    <xf numFmtId="167" fontId="0" fillId="0" borderId="17" xfId="2" applyNumberFormat="1" applyFont="1" applyBorder="1"/>
    <xf numFmtId="164" fontId="2" fillId="0" borderId="26" xfId="1" applyNumberFormat="1" applyFont="1" applyBorder="1"/>
    <xf numFmtId="0" fontId="2" fillId="8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4" fontId="2" fillId="0" borderId="0" xfId="0" applyNumberFormat="1" applyFont="1" applyBorder="1"/>
    <xf numFmtId="9" fontId="2" fillId="0" borderId="0" xfId="2" applyNumberFormat="1" applyFont="1" applyBorder="1"/>
    <xf numFmtId="0" fontId="9" fillId="11" borderId="1" xfId="0" applyFont="1" applyFill="1" applyBorder="1" applyAlignment="1"/>
    <xf numFmtId="0" fontId="9" fillId="11" borderId="3" xfId="0" applyFont="1" applyFill="1" applyBorder="1" applyAlignment="1"/>
    <xf numFmtId="0" fontId="0" fillId="11" borderId="8" xfId="0" applyFill="1" applyBorder="1"/>
    <xf numFmtId="0" fontId="0" fillId="11" borderId="7" xfId="0" applyFill="1" applyBorder="1"/>
    <xf numFmtId="164" fontId="10" fillId="0" borderId="17" xfId="0" applyNumberFormat="1" applyFont="1" applyBorder="1"/>
    <xf numFmtId="164" fontId="10" fillId="0" borderId="18" xfId="1" applyNumberFormat="1" applyFont="1" applyBorder="1"/>
    <xf numFmtId="164" fontId="10" fillId="0" borderId="16" xfId="1" applyNumberFormat="1" applyFont="1" applyBorder="1"/>
    <xf numFmtId="164" fontId="0" fillId="0" borderId="0" xfId="1" applyNumberFormat="1" applyFont="1"/>
    <xf numFmtId="164" fontId="10" fillId="0" borderId="15" xfId="0" applyNumberFormat="1" applyFont="1" applyBorder="1"/>
    <xf numFmtId="164" fontId="10" fillId="0" borderId="37" xfId="1" applyNumberFormat="1" applyFont="1" applyBorder="1"/>
    <xf numFmtId="0" fontId="2" fillId="8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2" fontId="12" fillId="0" borderId="15" xfId="8" applyNumberFormat="1" applyFont="1" applyBorder="1"/>
    <xf numFmtId="164" fontId="0" fillId="0" borderId="16" xfId="0" applyNumberFormat="1" applyFont="1" applyBorder="1"/>
    <xf numFmtId="42" fontId="12" fillId="0" borderId="15" xfId="7" applyNumberFormat="1" applyFont="1" applyBorder="1"/>
    <xf numFmtId="42" fontId="12" fillId="0" borderId="39" xfId="7" applyNumberFormat="1" applyFont="1" applyBorder="1"/>
    <xf numFmtId="42" fontId="12" fillId="0" borderId="17" xfId="8" applyNumberFormat="1" applyFont="1" applyBorder="1"/>
    <xf numFmtId="164" fontId="0" fillId="0" borderId="18" xfId="0" applyNumberFormat="1" applyFont="1" applyBorder="1"/>
    <xf numFmtId="42" fontId="12" fillId="0" borderId="17" xfId="7" applyNumberFormat="1" applyFont="1" applyFill="1" applyBorder="1"/>
    <xf numFmtId="42" fontId="12" fillId="0" borderId="36" xfId="7" applyNumberFormat="1" applyFont="1" applyFill="1" applyBorder="1"/>
    <xf numFmtId="42" fontId="12" fillId="0" borderId="17" xfId="7" applyNumberFormat="1" applyFont="1" applyBorder="1"/>
    <xf numFmtId="42" fontId="12" fillId="0" borderId="17" xfId="8" applyNumberFormat="1" applyFont="1" applyFill="1" applyBorder="1"/>
    <xf numFmtId="0" fontId="0" fillId="10" borderId="1" xfId="0" applyFill="1" applyBorder="1"/>
    <xf numFmtId="0" fontId="0" fillId="10" borderId="3" xfId="0" applyFill="1" applyBorder="1"/>
    <xf numFmtId="0" fontId="0" fillId="10" borderId="8" xfId="0" applyFill="1" applyBorder="1"/>
    <xf numFmtId="0" fontId="0" fillId="10" borderId="7" xfId="0" applyFill="1" applyBorder="1"/>
    <xf numFmtId="0" fontId="2" fillId="10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2" borderId="0" xfId="0" applyFont="1" applyFill="1" applyAlignment="1"/>
    <xf numFmtId="44" fontId="0" fillId="8" borderId="12" xfId="1" applyFont="1" applyFill="1" applyBorder="1"/>
    <xf numFmtId="44" fontId="2" fillId="8" borderId="14" xfId="0" applyNumberFormat="1" applyFont="1" applyFill="1" applyBorder="1"/>
    <xf numFmtId="44" fontId="2" fillId="6" borderId="21" xfId="1" applyFont="1" applyFill="1" applyBorder="1" applyAlignment="1">
      <alignment vertical="center"/>
    </xf>
    <xf numFmtId="44" fontId="13" fillId="8" borderId="41" xfId="1" applyFont="1" applyFill="1" applyBorder="1" applyAlignment="1">
      <alignment horizontal="left" vertical="center"/>
    </xf>
    <xf numFmtId="44" fontId="2" fillId="6" borderId="22" xfId="1" applyFont="1" applyFill="1" applyBorder="1" applyAlignment="1">
      <alignment vertical="center"/>
    </xf>
    <xf numFmtId="164" fontId="0" fillId="6" borderId="18" xfId="1" applyNumberFormat="1" applyFont="1" applyFill="1" applyBorder="1"/>
    <xf numFmtId="44" fontId="13" fillId="8" borderId="22" xfId="1" applyFont="1" applyFill="1" applyBorder="1" applyAlignment="1">
      <alignment horizontal="left" vertical="center"/>
    </xf>
    <xf numFmtId="44" fontId="13" fillId="8" borderId="22" xfId="1" applyFont="1" applyFill="1" applyBorder="1" applyAlignment="1">
      <alignment vertical="center"/>
    </xf>
    <xf numFmtId="44" fontId="13" fillId="8" borderId="42" xfId="1" applyFont="1" applyFill="1" applyBorder="1" applyAlignment="1">
      <alignment vertical="center"/>
    </xf>
    <xf numFmtId="44" fontId="2" fillId="6" borderId="23" xfId="1" applyFont="1" applyFill="1" applyBorder="1" applyAlignment="1">
      <alignment vertical="center"/>
    </xf>
    <xf numFmtId="164" fontId="0" fillId="6" borderId="37" xfId="1" applyNumberFormat="1" applyFont="1" applyFill="1" applyBorder="1"/>
    <xf numFmtId="44" fontId="2" fillId="8" borderId="14" xfId="1" applyFont="1" applyFill="1" applyBorder="1" applyAlignment="1">
      <alignment vertical="center"/>
    </xf>
    <xf numFmtId="10" fontId="10" fillId="0" borderId="17" xfId="2" applyNumberFormat="1" applyFont="1" applyBorder="1"/>
    <xf numFmtId="10" fontId="10" fillId="0" borderId="31" xfId="2" applyNumberFormat="1" applyFont="1" applyBorder="1"/>
    <xf numFmtId="9" fontId="11" fillId="0" borderId="25" xfId="0" applyNumberFormat="1" applyFont="1" applyBorder="1"/>
    <xf numFmtId="0" fontId="11" fillId="12" borderId="32" xfId="0" applyFont="1" applyFill="1" applyBorder="1"/>
    <xf numFmtId="164" fontId="11" fillId="0" borderId="26" xfId="1" applyNumberFormat="1" applyFont="1" applyBorder="1"/>
    <xf numFmtId="10" fontId="11" fillId="6" borderId="15" xfId="2" applyNumberFormat="1" applyFont="1" applyFill="1" applyBorder="1" applyAlignment="1">
      <alignment wrapText="1"/>
    </xf>
    <xf numFmtId="9" fontId="11" fillId="6" borderId="30" xfId="2" applyNumberFormat="1" applyFont="1" applyFill="1" applyBorder="1" applyAlignment="1">
      <alignment wrapText="1"/>
    </xf>
    <xf numFmtId="164" fontId="11" fillId="6" borderId="16" xfId="1" applyNumberFormat="1" applyFont="1" applyFill="1" applyBorder="1" applyAlignment="1">
      <alignment wrapText="1"/>
    </xf>
    <xf numFmtId="10" fontId="11" fillId="6" borderId="17" xfId="2" applyNumberFormat="1" applyFont="1" applyFill="1" applyBorder="1"/>
    <xf numFmtId="9" fontId="11" fillId="6" borderId="31" xfId="2" applyFont="1" applyFill="1" applyBorder="1"/>
    <xf numFmtId="164" fontId="11" fillId="6" borderId="18" xfId="1" applyNumberFormat="1" applyFont="1" applyFill="1" applyBorder="1"/>
    <xf numFmtId="9" fontId="11" fillId="6" borderId="31" xfId="0" applyNumberFormat="1" applyFont="1" applyFill="1" applyBorder="1"/>
    <xf numFmtId="9" fontId="11" fillId="6" borderId="31" xfId="2" applyNumberFormat="1" applyFont="1" applyFill="1" applyBorder="1"/>
    <xf numFmtId="10" fontId="11" fillId="6" borderId="43" xfId="2" applyNumberFormat="1" applyFont="1" applyFill="1" applyBorder="1"/>
    <xf numFmtId="9" fontId="11" fillId="6" borderId="44" xfId="0" applyNumberFormat="1" applyFont="1" applyFill="1" applyBorder="1"/>
    <xf numFmtId="164" fontId="11" fillId="6" borderId="37" xfId="1" applyNumberFormat="1" applyFont="1" applyFill="1" applyBorder="1"/>
    <xf numFmtId="164" fontId="0" fillId="6" borderId="15" xfId="1" applyNumberFormat="1" applyFont="1" applyFill="1" applyBorder="1"/>
    <xf numFmtId="164" fontId="0" fillId="0" borderId="17" xfId="1" applyNumberFormat="1" applyFont="1" applyBorder="1"/>
    <xf numFmtId="164" fontId="0" fillId="6" borderId="17" xfId="1" applyNumberFormat="1" applyFont="1" applyFill="1" applyBorder="1"/>
    <xf numFmtId="164" fontId="0" fillId="6" borderId="43" xfId="1" applyNumberFormat="1" applyFont="1" applyFill="1" applyBorder="1"/>
    <xf numFmtId="164" fontId="0" fillId="6" borderId="16" xfId="0" applyNumberFormat="1" applyFill="1" applyBorder="1"/>
    <xf numFmtId="164" fontId="2" fillId="0" borderId="25" xfId="1" applyNumberFormat="1" applyFont="1" applyBorder="1"/>
    <xf numFmtId="42" fontId="12" fillId="0" borderId="43" xfId="8" applyNumberFormat="1" applyFont="1" applyBorder="1"/>
    <xf numFmtId="164" fontId="0" fillId="0" borderId="37" xfId="0" applyNumberFormat="1" applyFont="1" applyBorder="1"/>
    <xf numFmtId="42" fontId="12" fillId="0" borderId="43" xfId="7" applyNumberFormat="1" applyFont="1" applyBorder="1"/>
    <xf numFmtId="42" fontId="12" fillId="0" borderId="45" xfId="7" applyNumberFormat="1" applyFont="1" applyFill="1" applyBorder="1"/>
    <xf numFmtId="42" fontId="2" fillId="0" borderId="25" xfId="0" applyNumberFormat="1" applyFont="1" applyBorder="1"/>
    <xf numFmtId="164" fontId="2" fillId="0" borderId="5" xfId="1" applyNumberFormat="1" applyFont="1" applyBorder="1"/>
    <xf numFmtId="164" fontId="0" fillId="0" borderId="20" xfId="1" applyNumberFormat="1" applyFont="1" applyBorder="1"/>
    <xf numFmtId="167" fontId="0" fillId="0" borderId="15" xfId="2" applyNumberFormat="1" applyFont="1" applyBorder="1"/>
    <xf numFmtId="167" fontId="0" fillId="0" borderId="19" xfId="2" applyNumberFormat="1" applyFont="1" applyBorder="1"/>
    <xf numFmtId="9" fontId="2" fillId="0" borderId="25" xfId="2" applyNumberFormat="1" applyFont="1" applyBorder="1"/>
    <xf numFmtId="164" fontId="11" fillId="0" borderId="32" xfId="0" applyNumberFormat="1" applyFont="1" applyBorder="1"/>
    <xf numFmtId="164" fontId="10" fillId="0" borderId="47" xfId="1" applyNumberFormat="1" applyFont="1" applyBorder="1"/>
    <xf numFmtId="9" fontId="2" fillId="6" borderId="31" xfId="2" applyFont="1" applyFill="1" applyBorder="1"/>
    <xf numFmtId="10" fontId="1" fillId="0" borderId="17" xfId="2" applyNumberFormat="1" applyFont="1" applyBorder="1"/>
    <xf numFmtId="10" fontId="1" fillId="0" borderId="31" xfId="2" applyNumberFormat="1" applyFont="1" applyBorder="1"/>
    <xf numFmtId="9" fontId="2" fillId="6" borderId="30" xfId="2" applyNumberFormat="1" applyFont="1" applyFill="1" applyBorder="1" applyAlignment="1">
      <alignment wrapText="1"/>
    </xf>
    <xf numFmtId="10" fontId="2" fillId="6" borderId="43" xfId="2" applyNumberFormat="1" applyFont="1" applyFill="1" applyBorder="1"/>
    <xf numFmtId="10" fontId="2" fillId="6" borderId="15" xfId="2" applyNumberFormat="1" applyFont="1" applyFill="1" applyBorder="1" applyAlignment="1">
      <alignment wrapText="1"/>
    </xf>
    <xf numFmtId="164" fontId="11" fillId="0" borderId="26" xfId="0" applyNumberFormat="1" applyFont="1" applyBorder="1"/>
    <xf numFmtId="164" fontId="11" fillId="0" borderId="25" xfId="0" applyNumberFormat="1" applyFont="1" applyBorder="1"/>
    <xf numFmtId="9" fontId="2" fillId="6" borderId="44" xfId="0" applyNumberFormat="1" applyFont="1" applyFill="1" applyBorder="1"/>
    <xf numFmtId="167" fontId="0" fillId="0" borderId="8" xfId="2" applyNumberFormat="1" applyFont="1" applyBorder="1"/>
    <xf numFmtId="167" fontId="0" fillId="0" borderId="9" xfId="2" applyNumberFormat="1" applyFont="1" applyBorder="1"/>
    <xf numFmtId="167" fontId="0" fillId="0" borderId="1" xfId="2" applyNumberFormat="1" applyFont="1" applyBorder="1"/>
    <xf numFmtId="164" fontId="0" fillId="0" borderId="49" xfId="1" applyNumberFormat="1" applyFont="1" applyBorder="1"/>
    <xf numFmtId="164" fontId="10" fillId="0" borderId="49" xfId="1" applyNumberFormat="1" applyFont="1" applyBorder="1"/>
    <xf numFmtId="164" fontId="0" fillId="0" borderId="47" xfId="1" applyNumberFormat="1" applyFont="1" applyBorder="1"/>
    <xf numFmtId="9" fontId="2" fillId="0" borderId="28" xfId="2" applyFont="1" applyBorder="1"/>
    <xf numFmtId="164" fontId="2" fillId="0" borderId="29" xfId="1" applyNumberFormat="1" applyFont="1" applyBorder="1"/>
    <xf numFmtId="164" fontId="10" fillId="0" borderId="48" xfId="1" applyNumberFormat="1" applyFont="1" applyBorder="1"/>
    <xf numFmtId="10" fontId="2" fillId="6" borderId="17" xfId="2" applyNumberFormat="1" applyFont="1" applyFill="1" applyBorder="1"/>
    <xf numFmtId="167" fontId="0" fillId="0" borderId="8" xfId="2" applyNumberFormat="1" applyFont="1" applyBorder="1"/>
    <xf numFmtId="167" fontId="0" fillId="0" borderId="9" xfId="2" applyNumberFormat="1" applyFont="1" applyBorder="1"/>
    <xf numFmtId="167" fontId="0" fillId="0" borderId="1" xfId="2" applyNumberFormat="1" applyFont="1" applyBorder="1"/>
    <xf numFmtId="164" fontId="10" fillId="0" borderId="49" xfId="1" applyNumberFormat="1" applyFont="1" applyBorder="1"/>
    <xf numFmtId="9" fontId="2" fillId="0" borderId="28" xfId="2" applyFont="1" applyBorder="1"/>
    <xf numFmtId="164" fontId="2" fillId="0" borderId="29" xfId="1" applyNumberFormat="1" applyFont="1" applyBorder="1"/>
    <xf numFmtId="164" fontId="10" fillId="0" borderId="48" xfId="1" applyNumberFormat="1" applyFont="1" applyBorder="1"/>
    <xf numFmtId="9" fontId="2" fillId="6" borderId="31" xfId="0" applyNumberFormat="1" applyFont="1" applyFill="1" applyBorder="1"/>
    <xf numFmtId="9" fontId="2" fillId="6" borderId="31" xfId="2" applyNumberFormat="1" applyFont="1" applyFill="1" applyBorder="1"/>
    <xf numFmtId="10" fontId="0" fillId="0" borderId="17" xfId="2" applyNumberFormat="1" applyFont="1" applyBorder="1"/>
    <xf numFmtId="10" fontId="0" fillId="0" borderId="31" xfId="2" applyNumberFormat="1" applyFont="1" applyBorder="1"/>
    <xf numFmtId="9" fontId="2" fillId="0" borderId="25" xfId="0" applyNumberFormat="1" applyFont="1" applyBorder="1"/>
    <xf numFmtId="0" fontId="2" fillId="12" borderId="32" xfId="0" applyFont="1" applyFill="1" applyBorder="1"/>
    <xf numFmtId="164" fontId="2" fillId="6" borderId="42" xfId="1" applyNumberFormat="1" applyFont="1" applyFill="1" applyBorder="1"/>
    <xf numFmtId="164" fontId="2" fillId="6" borderId="22" xfId="1" applyNumberFormat="1" applyFont="1" applyFill="1" applyBorder="1"/>
    <xf numFmtId="164" fontId="2" fillId="6" borderId="21" xfId="1" applyNumberFormat="1" applyFont="1" applyFill="1" applyBorder="1" applyAlignment="1">
      <alignment wrapText="1"/>
    </xf>
    <xf numFmtId="164" fontId="0" fillId="0" borderId="22" xfId="1" applyNumberFormat="1" applyFont="1" applyBorder="1"/>
    <xf numFmtId="164" fontId="10" fillId="0" borderId="22" xfId="1" applyNumberFormat="1" applyFont="1" applyBorder="1"/>
    <xf numFmtId="164" fontId="2" fillId="0" borderId="46" xfId="1" applyNumberFormat="1" applyFont="1" applyBorder="1"/>
    <xf numFmtId="164" fontId="10" fillId="0" borderId="31" xfId="0" applyNumberFormat="1" applyFont="1" applyBorder="1"/>
    <xf numFmtId="164" fontId="10" fillId="0" borderId="30" xfId="0" applyNumberFormat="1" applyFont="1" applyBorder="1"/>
    <xf numFmtId="164" fontId="10" fillId="0" borderId="17" xfId="0" applyNumberFormat="1" applyFont="1" applyBorder="1"/>
    <xf numFmtId="164" fontId="10" fillId="0" borderId="16" xfId="1" applyNumberFormat="1" applyFont="1" applyBorder="1"/>
    <xf numFmtId="164" fontId="10" fillId="0" borderId="18" xfId="1" applyNumberFormat="1" applyFont="1" applyBorder="1"/>
    <xf numFmtId="164" fontId="10" fillId="0" borderId="31" xfId="0" applyNumberFormat="1" applyFont="1" applyBorder="1"/>
    <xf numFmtId="164" fontId="10" fillId="0" borderId="30" xfId="0" applyNumberFormat="1" applyFont="1" applyBorder="1"/>
    <xf numFmtId="164" fontId="10" fillId="0" borderId="17" xfId="0" applyNumberFormat="1" applyFont="1" applyBorder="1"/>
    <xf numFmtId="164" fontId="10" fillId="0" borderId="16" xfId="1" applyNumberFormat="1" applyFont="1" applyBorder="1"/>
    <xf numFmtId="164" fontId="10" fillId="0" borderId="18" xfId="1" applyNumberFormat="1" applyFont="1" applyBorder="1"/>
    <xf numFmtId="164" fontId="0" fillId="0" borderId="16" xfId="0" applyNumberFormat="1" applyFont="1" applyFill="1" applyBorder="1"/>
    <xf numFmtId="42" fontId="12" fillId="0" borderId="15" xfId="7" applyNumberFormat="1" applyFont="1" applyFill="1" applyBorder="1"/>
    <xf numFmtId="42" fontId="12" fillId="0" borderId="39" xfId="7" applyNumberFormat="1" applyFont="1" applyFill="1" applyBorder="1"/>
    <xf numFmtId="164" fontId="0" fillId="0" borderId="18" xfId="0" applyNumberFormat="1" applyFont="1" applyFill="1" applyBorder="1"/>
    <xf numFmtId="164" fontId="0" fillId="0" borderId="37" xfId="0" applyNumberFormat="1" applyFont="1" applyFill="1" applyBorder="1"/>
    <xf numFmtId="42" fontId="12" fillId="0" borderId="43" xfId="7" applyNumberFormat="1" applyFont="1" applyFill="1" applyBorder="1"/>
    <xf numFmtId="42" fontId="12" fillId="0" borderId="0" xfId="7" applyNumberFormat="1" applyFont="1" applyFill="1" applyBorder="1"/>
    <xf numFmtId="42" fontId="12" fillId="0" borderId="0" xfId="8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/>
    <xf numFmtId="42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0" xfId="1" applyNumberFormat="1" applyFont="1" applyFill="1" applyBorder="1"/>
    <xf numFmtId="0" fontId="2" fillId="5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0" fillId="7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/>
    </xf>
    <xf numFmtId="44" fontId="2" fillId="8" borderId="27" xfId="1" applyFont="1" applyFill="1" applyBorder="1" applyAlignment="1">
      <alignment horizontal="left" vertical="center"/>
    </xf>
    <xf numFmtId="44" fontId="2" fillId="8" borderId="24" xfId="1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44" fontId="2" fillId="8" borderId="17" xfId="1" applyFont="1" applyFill="1" applyBorder="1" applyAlignment="1">
      <alignment horizontal="left" vertical="center"/>
    </xf>
    <xf numFmtId="44" fontId="2" fillId="8" borderId="18" xfId="1" applyFont="1" applyFill="1" applyBorder="1" applyAlignment="1">
      <alignment horizontal="left" vertical="center"/>
    </xf>
    <xf numFmtId="44" fontId="2" fillId="11" borderId="17" xfId="1" applyFont="1" applyFill="1" applyBorder="1" applyAlignment="1">
      <alignment horizontal="left" vertical="center"/>
    </xf>
    <xf numFmtId="44" fontId="2" fillId="11" borderId="18" xfId="1" applyFont="1" applyFill="1" applyBorder="1" applyAlignment="1">
      <alignment horizontal="left" vertical="center"/>
    </xf>
    <xf numFmtId="44" fontId="2" fillId="11" borderId="19" xfId="1" applyFont="1" applyFill="1" applyBorder="1" applyAlignment="1">
      <alignment horizontal="left" vertical="center"/>
    </xf>
    <xf numFmtId="44" fontId="2" fillId="11" borderId="20" xfId="1" applyFont="1" applyFill="1" applyBorder="1" applyAlignment="1">
      <alignment horizontal="left" vertical="center"/>
    </xf>
    <xf numFmtId="0" fontId="2" fillId="11" borderId="4" xfId="0" applyFont="1" applyFill="1" applyBorder="1" applyAlignment="1">
      <alignment horizontal="left"/>
    </xf>
    <xf numFmtId="0" fontId="2" fillId="11" borderId="5" xfId="0" applyFont="1" applyFill="1" applyBorder="1" applyAlignment="1">
      <alignment horizontal="left"/>
    </xf>
    <xf numFmtId="44" fontId="2" fillId="8" borderId="19" xfId="1" applyFont="1" applyFill="1" applyBorder="1" applyAlignment="1">
      <alignment horizontal="left" vertical="center"/>
    </xf>
    <xf numFmtId="44" fontId="2" fillId="8" borderId="20" xfId="1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/>
    </xf>
    <xf numFmtId="0" fontId="2" fillId="8" borderId="5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 wrapText="1"/>
    </xf>
    <xf numFmtId="0" fontId="2" fillId="11" borderId="9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center" wrapText="1"/>
    </xf>
    <xf numFmtId="44" fontId="2" fillId="11" borderId="27" xfId="1" applyFont="1" applyFill="1" applyBorder="1" applyAlignment="1">
      <alignment horizontal="left" vertical="center"/>
    </xf>
    <xf numFmtId="44" fontId="2" fillId="11" borderId="24" xfId="1" applyFont="1" applyFill="1" applyBorder="1" applyAlignment="1">
      <alignment horizontal="left" vertical="center"/>
    </xf>
    <xf numFmtId="0" fontId="2" fillId="8" borderId="8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0" fillId="0" borderId="38" xfId="1" applyNumberFormat="1" applyFont="1" applyBorder="1" applyAlignment="1">
      <alignment horizontal="center"/>
    </xf>
    <xf numFmtId="164" fontId="0" fillId="0" borderId="39" xfId="1" applyNumberFormat="1" applyFont="1" applyBorder="1" applyAlignment="1">
      <alignment horizontal="center"/>
    </xf>
    <xf numFmtId="164" fontId="0" fillId="0" borderId="35" xfId="1" applyNumberFormat="1" applyFont="1" applyBorder="1" applyAlignment="1">
      <alignment horizontal="center"/>
    </xf>
    <xf numFmtId="164" fontId="0" fillId="0" borderId="3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33" xfId="1" applyNumberFormat="1" applyFont="1" applyBorder="1" applyAlignment="1">
      <alignment horizontal="center"/>
    </xf>
    <xf numFmtId="164" fontId="0" fillId="0" borderId="34" xfId="1" applyNumberFormat="1" applyFont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left"/>
    </xf>
    <xf numFmtId="0" fontId="2" fillId="1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44" fontId="2" fillId="10" borderId="17" xfId="1" applyFont="1" applyFill="1" applyBorder="1" applyAlignment="1">
      <alignment horizontal="left" vertical="center"/>
    </xf>
    <xf numFmtId="44" fontId="2" fillId="10" borderId="18" xfId="1" applyFont="1" applyFill="1" applyBorder="1" applyAlignment="1">
      <alignment horizontal="left" vertical="center"/>
    </xf>
    <xf numFmtId="44" fontId="2" fillId="10" borderId="19" xfId="1" applyFont="1" applyFill="1" applyBorder="1" applyAlignment="1">
      <alignment horizontal="left" vertical="center"/>
    </xf>
    <xf numFmtId="44" fontId="2" fillId="10" borderId="20" xfId="1" applyFont="1" applyFill="1" applyBorder="1" applyAlignment="1">
      <alignment horizontal="left" vertical="center"/>
    </xf>
    <xf numFmtId="44" fontId="2" fillId="10" borderId="27" xfId="1" applyFont="1" applyFill="1" applyBorder="1" applyAlignment="1">
      <alignment horizontal="left" vertical="center"/>
    </xf>
    <xf numFmtId="44" fontId="2" fillId="10" borderId="24" xfId="1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</cellXfs>
  <cellStyles count="12">
    <cellStyle name="Comma 2" xfId="5"/>
    <cellStyle name="Comma 2 2" xfId="6"/>
    <cellStyle name="Currency" xfId="1" builtinId="4"/>
    <cellStyle name="Currency 2" xfId="7"/>
    <cellStyle name="Currency 3" xfId="4"/>
    <cellStyle name="Normal" xfId="0" builtinId="0"/>
    <cellStyle name="Normal 2" xfId="8"/>
    <cellStyle name="Normal 3" xfId="3"/>
    <cellStyle name="Percent" xfId="2" builtinId="5"/>
    <cellStyle name="Percent 2" xfId="9"/>
    <cellStyle name="Percent 2 2" xfId="10"/>
    <cellStyle name="Percent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a.gov/Documents%20and%20Settings/jcornell/Local%20Settings/Temporary%20Internet%20Files/Content.Outlook/N5WUNWAZ/WIA%20Allocations%20-%20SCENARI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Allocations"/>
      <sheetName val="Youth Allocation by WDA"/>
      <sheetName val="Youth Allocation Summary"/>
      <sheetName val="Youth Allocation by County"/>
      <sheetName val="Adult Allocation by WDA"/>
      <sheetName val="Adult Allocation by WDA - July"/>
      <sheetName val="Adult Allocation by WDA - Oct"/>
      <sheetName val="Adult Allocation Summary"/>
      <sheetName val="Adult Allocation by County"/>
      <sheetName val="DW Allocation by WDA - No Mit."/>
      <sheetName val="DW Alloc. by WDA - Mitigation 1"/>
      <sheetName val="DW Alloc. by WDA - July"/>
      <sheetName val="DW Alloc. by WDA - Oct No Mit."/>
      <sheetName val="DW Alloc. by WDA - Oct Mit."/>
      <sheetName val="DW Allocation Summary - No Mit."/>
      <sheetName val="DW Allocation Summary - Mit."/>
      <sheetName val="DW Allocation by County-No Mit."/>
      <sheetName val="DW Allocation by County - Mit."/>
      <sheetName val="Allocation Comp. to Prior Year "/>
      <sheetName val="Data Entry"/>
    </sheetNames>
    <sheetDataSet>
      <sheetData sheetId="0"/>
      <sheetData sheetId="1"/>
      <sheetData sheetId="2"/>
      <sheetData sheetId="3"/>
      <sheetData sheetId="4"/>
      <sheetData sheetId="5">
        <row r="38">
          <cell r="C38">
            <v>44170.444931910395</v>
          </cell>
        </row>
        <row r="39">
          <cell r="C39">
            <v>82503.20341531848</v>
          </cell>
        </row>
        <row r="40">
          <cell r="C40">
            <v>57316.826506359932</v>
          </cell>
        </row>
        <row r="41">
          <cell r="C41">
            <v>104531.49848225329</v>
          </cell>
        </row>
        <row r="42">
          <cell r="C42">
            <v>269811.85804875207</v>
          </cell>
        </row>
        <row r="43">
          <cell r="C43">
            <v>121243.2709651898</v>
          </cell>
        </row>
        <row r="44">
          <cell r="C44">
            <v>105783.56463294363</v>
          </cell>
        </row>
        <row r="45">
          <cell r="C45">
            <v>56304.539180593783</v>
          </cell>
        </row>
        <row r="46">
          <cell r="C46">
            <v>77416.217316257826</v>
          </cell>
        </row>
        <row r="47">
          <cell r="C47">
            <v>36747.095654248318</v>
          </cell>
        </row>
        <row r="48">
          <cell r="C48">
            <v>42434.533905696182</v>
          </cell>
        </row>
        <row r="49">
          <cell r="C49">
            <v>73649.438663431909</v>
          </cell>
        </row>
      </sheetData>
      <sheetData sheetId="6">
        <row r="38">
          <cell r="C38">
            <v>525720.50199505303</v>
          </cell>
        </row>
        <row r="39">
          <cell r="C39">
            <v>981967.41408311913</v>
          </cell>
        </row>
        <row r="40">
          <cell r="C40">
            <v>682194.5419029186</v>
          </cell>
        </row>
        <row r="41">
          <cell r="C41">
            <v>1244151.4345675532</v>
          </cell>
        </row>
        <row r="42">
          <cell r="C42">
            <v>3211346.2671433068</v>
          </cell>
        </row>
        <row r="43">
          <cell r="C43">
            <v>1443057.8721416483</v>
          </cell>
        </row>
        <row r="44">
          <cell r="C44">
            <v>1259054.2235748775</v>
          </cell>
        </row>
        <row r="45">
          <cell r="C45">
            <v>670146.59986999608</v>
          </cell>
        </row>
        <row r="46">
          <cell r="C46">
            <v>921417.49817136396</v>
          </cell>
        </row>
        <row r="47">
          <cell r="C47">
            <v>437374.52898237517</v>
          </cell>
        </row>
        <row r="48">
          <cell r="C48">
            <v>505063.18911154743</v>
          </cell>
        </row>
        <row r="49">
          <cell r="C49">
            <v>876587.62068029412</v>
          </cell>
        </row>
      </sheetData>
      <sheetData sheetId="7">
        <row r="36">
          <cell r="E36">
            <v>569890.9469269634</v>
          </cell>
        </row>
        <row r="37">
          <cell r="E37">
            <v>1064470.6174984376</v>
          </cell>
        </row>
        <row r="38">
          <cell r="E38">
            <v>739511.36840927857</v>
          </cell>
        </row>
        <row r="39">
          <cell r="E39">
            <v>1348682.9330498064</v>
          </cell>
        </row>
        <row r="40">
          <cell r="E40">
            <v>3481158.1251920587</v>
          </cell>
        </row>
        <row r="41">
          <cell r="E41">
            <v>1564301.1431068382</v>
          </cell>
        </row>
        <row r="42">
          <cell r="E42">
            <v>1364837.7882078211</v>
          </cell>
        </row>
        <row r="43">
          <cell r="E43">
            <v>726451.13905058987</v>
          </cell>
        </row>
        <row r="44">
          <cell r="E44">
            <v>998833.71548762172</v>
          </cell>
        </row>
        <row r="45">
          <cell r="E45">
            <v>474121.47463662346</v>
          </cell>
        </row>
        <row r="46">
          <cell r="E46">
            <v>547497.72301724367</v>
          </cell>
        </row>
        <row r="47">
          <cell r="E47">
            <v>950237.05934372602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PY 2011</v>
          </cell>
        </row>
        <row r="4">
          <cell r="B4">
            <v>15992583</v>
          </cell>
          <cell r="C4">
            <v>15992583</v>
          </cell>
        </row>
        <row r="5">
          <cell r="B5">
            <v>14762815</v>
          </cell>
          <cell r="C5">
            <v>1128329</v>
          </cell>
          <cell r="D5">
            <v>13634486</v>
          </cell>
        </row>
        <row r="6">
          <cell r="B6">
            <v>22272901</v>
          </cell>
          <cell r="C6">
            <v>4260758</v>
          </cell>
          <cell r="D6">
            <v>18012143</v>
          </cell>
        </row>
        <row r="10">
          <cell r="B10">
            <v>0.95</v>
          </cell>
          <cell r="C10">
            <v>0.95</v>
          </cell>
        </row>
        <row r="11">
          <cell r="B11">
            <v>0.05</v>
          </cell>
          <cell r="C11">
            <v>0.05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57">
          <cell r="C157">
            <v>4.19191130773377E-2</v>
          </cell>
          <cell r="E157">
            <v>3.6885268596299842E-2</v>
          </cell>
          <cell r="G157">
            <v>5.1218023417124468E-2</v>
          </cell>
        </row>
        <row r="158">
          <cell r="C158">
            <v>9.2279778858416952E-3</v>
          </cell>
          <cell r="E158">
            <v>9.812444971121952E-3</v>
          </cell>
          <cell r="G158">
            <v>1.2540924476999057E-2</v>
          </cell>
        </row>
        <row r="159">
          <cell r="C159">
            <v>3.6876566591362283E-3</v>
          </cell>
          <cell r="E159">
            <v>3.7101230985619122E-3</v>
          </cell>
          <cell r="G159">
            <v>5.0357915764940898E-3</v>
          </cell>
        </row>
        <row r="160">
          <cell r="C160">
            <v>2.9003478532359777E-2</v>
          </cell>
          <cell r="E160">
            <v>2.336270052661598E-2</v>
          </cell>
          <cell r="G160">
            <v>3.3641307363631322E-2</v>
          </cell>
        </row>
        <row r="161">
          <cell r="C161">
            <v>6.8227539019354314E-2</v>
          </cell>
          <cell r="E161">
            <v>7.144478838454596E-2</v>
          </cell>
          <cell r="G161">
            <v>8.0170356805948612E-2</v>
          </cell>
        </row>
        <row r="162">
          <cell r="C162">
            <v>1.2191063028885661E-2</v>
          </cell>
          <cell r="E162">
            <v>1.517274222396961E-2</v>
          </cell>
          <cell r="G162">
            <v>1.6688862993174628E-2</v>
          </cell>
        </row>
        <row r="163">
          <cell r="C163">
            <v>1.24620409942535E-2</v>
          </cell>
          <cell r="E163">
            <v>1.5615741996932227E-2</v>
          </cell>
          <cell r="G163">
            <v>1.4580211974918151E-2</v>
          </cell>
        </row>
        <row r="164">
          <cell r="C164">
            <v>8.297227483056514E-3</v>
          </cell>
          <cell r="E164">
            <v>9.27530774640478E-3</v>
          </cell>
          <cell r="G164">
            <v>1.2055379834637368E-2</v>
          </cell>
        </row>
        <row r="165">
          <cell r="C165">
            <v>3.4873685977773916E-3</v>
          </cell>
          <cell r="E165">
            <v>4.252797820441117E-3</v>
          </cell>
          <cell r="G165">
            <v>5.3548637700460578E-3</v>
          </cell>
        </row>
        <row r="166">
          <cell r="C166">
            <v>3.1789838915381237E-2</v>
          </cell>
          <cell r="E166">
            <v>2.7128198596798218E-2</v>
          </cell>
          <cell r="G166">
            <v>3.1491038233172411E-2</v>
          </cell>
        </row>
        <row r="167">
          <cell r="C167">
            <v>5.6510687429862358E-2</v>
          </cell>
          <cell r="E167">
            <v>5.4743696943855315E-2</v>
          </cell>
          <cell r="G167">
            <v>5.8251484379335222E-2</v>
          </cell>
        </row>
        <row r="168">
          <cell r="C168">
            <v>9.0748164271555274E-3</v>
          </cell>
          <cell r="E168">
            <v>8.8710704535763917E-3</v>
          </cell>
          <cell r="G168">
            <v>8.2681316242161924E-3</v>
          </cell>
        </row>
        <row r="169">
          <cell r="C169">
            <v>1.7230664102194039E-3</v>
          </cell>
          <cell r="E169">
            <v>1.1628744040268679E-3</v>
          </cell>
          <cell r="G169">
            <v>2.3722323955385383E-3</v>
          </cell>
        </row>
        <row r="170">
          <cell r="C170">
            <v>1.8087779188303177E-2</v>
          </cell>
          <cell r="E170">
            <v>1.9342477586980236E-2</v>
          </cell>
          <cell r="G170">
            <v>1.703568059486155E-2</v>
          </cell>
        </row>
        <row r="171">
          <cell r="C171">
            <v>2.7625025404184253E-2</v>
          </cell>
          <cell r="E171">
            <v>2.536727449927182E-2</v>
          </cell>
          <cell r="G171">
            <v>3.057543976471894E-2</v>
          </cell>
        </row>
        <row r="172">
          <cell r="C172">
            <v>0.11519508940800151</v>
          </cell>
          <cell r="E172">
            <v>0.12149268773499754</v>
          </cell>
          <cell r="G172">
            <v>7.2221297375284391E-2</v>
          </cell>
        </row>
        <row r="173">
          <cell r="C173">
            <v>0.28680366762785298</v>
          </cell>
          <cell r="E173">
            <v>0.26223925310238277</v>
          </cell>
          <cell r="G173">
            <v>0.24869596581765718</v>
          </cell>
        </row>
        <row r="174">
          <cell r="C174">
            <v>0.11609049485878219</v>
          </cell>
          <cell r="E174">
            <v>0.11944935128220746</v>
          </cell>
          <cell r="G174">
            <v>0.12302313967038456</v>
          </cell>
        </row>
        <row r="175">
          <cell r="C175">
            <v>0.10652084910356366</v>
          </cell>
          <cell r="E175">
            <v>0.13379700642903419</v>
          </cell>
          <cell r="G175">
            <v>6.9002830031629769E-2</v>
          </cell>
        </row>
        <row r="176">
          <cell r="C176">
            <v>8.9084006114676692E-2</v>
          </cell>
          <cell r="E176">
            <v>0.11254409232115269</v>
          </cell>
          <cell r="G176">
            <v>4.8693191276843684E-2</v>
          </cell>
        </row>
        <row r="177">
          <cell r="C177">
            <v>1.6800633852805946E-2</v>
          </cell>
          <cell r="E177">
            <v>2.0449977019386778E-2</v>
          </cell>
          <cell r="G177">
            <v>1.9754730592087009E-2</v>
          </cell>
        </row>
        <row r="178">
          <cell r="C178">
            <v>6.362091360810106E-4</v>
          </cell>
          <cell r="E178">
            <v>8.0293708849474212E-4</v>
          </cell>
          <cell r="G178">
            <v>5.549081626990733E-4</v>
          </cell>
        </row>
        <row r="179">
          <cell r="C179">
            <v>3.8113639911519802E-2</v>
          </cell>
          <cell r="E179">
            <v>3.7555305752905804E-2</v>
          </cell>
          <cell r="G179">
            <v>5.5310471117030129E-2</v>
          </cell>
        </row>
        <row r="180">
          <cell r="C180">
            <v>2.3798934349697066E-3</v>
          </cell>
          <cell r="E180">
            <v>2.3312863052157686E-3</v>
          </cell>
          <cell r="G180">
            <v>4.1479385161755731E-3</v>
          </cell>
        </row>
        <row r="181">
          <cell r="C181">
            <v>1.0632939728020594E-2</v>
          </cell>
          <cell r="E181">
            <v>9.5521826045064148E-3</v>
          </cell>
          <cell r="G181">
            <v>1.2929360190888408E-2</v>
          </cell>
        </row>
        <row r="182">
          <cell r="C182">
            <v>5.2811249120057963E-3</v>
          </cell>
          <cell r="E182">
            <v>4.4576852154363271E-3</v>
          </cell>
          <cell r="G182">
            <v>6.5201709117141109E-3</v>
          </cell>
        </row>
        <row r="183">
          <cell r="C183">
            <v>1.3092359305000427E-2</v>
          </cell>
          <cell r="E183">
            <v>1.40873927802112E-2</v>
          </cell>
          <cell r="G183">
            <v>1.8603296154486432E-2</v>
          </cell>
        </row>
        <row r="184">
          <cell r="C184">
            <v>6.7273225315232794E-3</v>
          </cell>
          <cell r="E184">
            <v>7.1267588475360903E-3</v>
          </cell>
          <cell r="G184">
            <v>1.3109705343765607E-2</v>
          </cell>
        </row>
        <row r="185">
          <cell r="C185">
            <v>4.7518342557384005E-2</v>
          </cell>
          <cell r="E185">
            <v>4.8370037710355675E-2</v>
          </cell>
          <cell r="G185">
            <v>7.8020087675489708E-2</v>
          </cell>
        </row>
        <row r="186">
          <cell r="C186">
            <v>5.7582817640665545E-3</v>
          </cell>
          <cell r="E186">
            <v>5.5374971620327047E-3</v>
          </cell>
          <cell r="G186">
            <v>7.3525331557627209E-3</v>
          </cell>
        </row>
        <row r="187">
          <cell r="C187">
            <v>3.5020956611126002E-3</v>
          </cell>
          <cell r="E187">
            <v>3.8374855332886644E-3</v>
          </cell>
          <cell r="G187">
            <v>4.7999556073469842E-3</v>
          </cell>
        </row>
        <row r="188">
          <cell r="C188">
            <v>1.9910989629201999E-3</v>
          </cell>
          <cell r="E188">
            <v>2.4641862371045536E-3</v>
          </cell>
          <cell r="G188">
            <v>2.0254147938516174E-3</v>
          </cell>
        </row>
        <row r="189">
          <cell r="C189">
            <v>3.6266866169284651E-2</v>
          </cell>
          <cell r="E189">
            <v>3.6530868777929749E-2</v>
          </cell>
          <cell r="G189">
            <v>6.3842184118528378E-2</v>
          </cell>
        </row>
        <row r="190">
          <cell r="C190">
            <v>2.6081629166654394E-2</v>
          </cell>
          <cell r="E190">
            <v>2.4392674998754062E-2</v>
          </cell>
          <cell r="G190">
            <v>4.6723267299261975E-2</v>
          </cell>
        </row>
        <row r="191">
          <cell r="C191">
            <v>2.7421791930158377E-3</v>
          </cell>
          <cell r="E191">
            <v>2.5583236888591094E-3</v>
          </cell>
          <cell r="G191">
            <v>4.4531380056600633E-3</v>
          </cell>
        </row>
        <row r="192">
          <cell r="C192">
            <v>5.1250180406525855E-4</v>
          </cell>
          <cell r="E192">
            <v>5.7589970485140125E-4</v>
          </cell>
          <cell r="G192">
            <v>8.1848953998113309E-4</v>
          </cell>
        </row>
        <row r="193">
          <cell r="C193">
            <v>1.295981573498355E-3</v>
          </cell>
          <cell r="E193">
            <v>1.6723241429338767E-3</v>
          </cell>
          <cell r="G193">
            <v>2.1918872426613394E-3</v>
          </cell>
        </row>
        <row r="194">
          <cell r="C194">
            <v>2.415238386974207E-4</v>
          </cell>
          <cell r="E194">
            <v>1.9381240067114467E-4</v>
          </cell>
          <cell r="G194">
            <v>5.82653570834027E-4</v>
          </cell>
        </row>
        <row r="195">
          <cell r="C195">
            <v>1.2370733201575207E-3</v>
          </cell>
          <cell r="E195">
            <v>1.107499432406541E-3</v>
          </cell>
          <cell r="G195">
            <v>2.1086510182564784E-3</v>
          </cell>
        </row>
        <row r="196">
          <cell r="C196">
            <v>2.2120049129483285E-3</v>
          </cell>
          <cell r="E196">
            <v>2.7964360668265159E-3</v>
          </cell>
          <cell r="G196">
            <v>3.3571943843293934E-3</v>
          </cell>
        </row>
        <row r="197">
          <cell r="C197">
            <v>6.9335014182161994E-3</v>
          </cell>
          <cell r="E197">
            <v>8.3671582118314165E-3</v>
          </cell>
          <cell r="G197">
            <v>9.7941290716386433E-3</v>
          </cell>
        </row>
        <row r="198">
          <cell r="C198">
            <v>6.9541193068854909E-3</v>
          </cell>
          <cell r="E198">
            <v>5.1664848521765132E-3</v>
          </cell>
          <cell r="G198">
            <v>1.3914322179679263E-2</v>
          </cell>
        </row>
        <row r="199">
          <cell r="C199">
            <v>3.9527437991699827E-3</v>
          </cell>
          <cell r="E199">
            <v>1.9547364981975447E-3</v>
          </cell>
          <cell r="G199">
            <v>9.5028022862216309E-3</v>
          </cell>
        </row>
        <row r="200">
          <cell r="C200">
            <v>2.9842921142466665E-2</v>
          </cell>
          <cell r="E200">
            <v>2.2521000957987009E-2</v>
          </cell>
          <cell r="G200">
            <v>3.6443593585261641E-2</v>
          </cell>
        </row>
        <row r="201">
          <cell r="C201">
            <v>2.0470618035939924E-2</v>
          </cell>
          <cell r="E201">
            <v>1.4425180107095195E-2</v>
          </cell>
          <cell r="G201">
            <v>2.1585927528993951E-2</v>
          </cell>
        </row>
        <row r="202">
          <cell r="C202">
            <v>9.3723031065267408E-3</v>
          </cell>
          <cell r="E202">
            <v>8.0958208508918137E-3</v>
          </cell>
          <cell r="G202">
            <v>1.4857666056267687E-2</v>
          </cell>
        </row>
        <row r="203">
          <cell r="C203">
            <v>6.717602669722042E-2</v>
          </cell>
          <cell r="E203">
            <v>6.7108928106674348E-2</v>
          </cell>
          <cell r="G203">
            <v>8.0919482825592359E-2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41"/>
  <sheetViews>
    <sheetView view="pageLayout" zoomScaleNormal="100" workbookViewId="0">
      <selection activeCell="I7" sqref="I7"/>
    </sheetView>
  </sheetViews>
  <sheetFormatPr defaultRowHeight="14.4" x14ac:dyDescent="0.3"/>
  <cols>
    <col min="1" max="1" width="7.109375" customWidth="1"/>
    <col min="2" max="2" width="10.6640625" customWidth="1"/>
    <col min="3" max="5" width="15" customWidth="1"/>
    <col min="6" max="6" width="15.5546875" customWidth="1"/>
    <col min="7" max="7" width="13.88671875" customWidth="1"/>
    <col min="8" max="8" width="0.109375" customWidth="1"/>
    <col min="9" max="9" width="29.109375" bestFit="1" customWidth="1"/>
    <col min="10" max="10" width="15.5546875" bestFit="1" customWidth="1"/>
    <col min="11" max="11" width="1" customWidth="1"/>
    <col min="12" max="12" width="14.33203125" bestFit="1" customWidth="1"/>
    <col min="13" max="13" width="1" customWidth="1"/>
    <col min="14" max="14" width="15.5546875" bestFit="1" customWidth="1"/>
  </cols>
  <sheetData>
    <row r="1" spans="1:15" ht="20.25" customHeight="1" x14ac:dyDescent="0.3">
      <c r="A1" s="231" t="s">
        <v>0</v>
      </c>
      <c r="B1" s="231"/>
      <c r="C1" s="1" t="str">
        <f>'[1]Data Entry'!B1</f>
        <v>PY 2011</v>
      </c>
      <c r="D1" s="2"/>
      <c r="E1" s="2"/>
      <c r="F1" s="2"/>
      <c r="G1" s="2"/>
      <c r="H1" s="2"/>
    </row>
    <row r="2" spans="1:15" ht="11.25" customHeight="1" x14ac:dyDescent="0.3"/>
    <row r="3" spans="1:15" ht="25.5" customHeight="1" x14ac:dyDescent="0.35">
      <c r="A3" s="239" t="s">
        <v>1</v>
      </c>
      <c r="B3" s="239"/>
      <c r="C3" s="239"/>
      <c r="D3" s="239"/>
      <c r="E3" s="239"/>
      <c r="F3" s="239"/>
      <c r="G3" s="239"/>
      <c r="H3" s="3"/>
    </row>
    <row r="4" spans="1:15" ht="7.5" customHeight="1" thickBot="1" x14ac:dyDescent="0.35"/>
    <row r="5" spans="1:15" ht="18.600000000000001" thickBot="1" x14ac:dyDescent="0.4">
      <c r="A5" s="232" t="s">
        <v>2</v>
      </c>
      <c r="B5" s="233"/>
      <c r="C5" s="233"/>
      <c r="D5" s="233"/>
      <c r="E5" s="234"/>
      <c r="F5" s="237" t="s">
        <v>18</v>
      </c>
      <c r="G5" s="238"/>
      <c r="H5" s="36"/>
      <c r="I5" s="4"/>
      <c r="J5" s="5"/>
      <c r="K5" s="4"/>
      <c r="L5" s="6"/>
      <c r="M5" s="7"/>
    </row>
    <row r="6" spans="1:15" ht="30" customHeight="1" thickBot="1" x14ac:dyDescent="0.35">
      <c r="A6" s="8"/>
      <c r="B6" s="9" t="s">
        <v>3</v>
      </c>
      <c r="C6" s="10" t="s">
        <v>4</v>
      </c>
      <c r="D6" s="11" t="s">
        <v>5</v>
      </c>
      <c r="E6" s="12" t="s">
        <v>6</v>
      </c>
      <c r="F6" s="38" t="s">
        <v>19</v>
      </c>
      <c r="G6" s="37" t="s">
        <v>20</v>
      </c>
      <c r="H6" s="36"/>
      <c r="I6" s="4"/>
      <c r="J6" s="13"/>
      <c r="K6" s="4"/>
      <c r="L6" s="6"/>
      <c r="M6" s="7"/>
      <c r="O6" s="14"/>
    </row>
    <row r="7" spans="1:15" ht="15" customHeight="1" x14ac:dyDescent="0.3">
      <c r="A7" s="235" t="s">
        <v>7</v>
      </c>
      <c r="B7" s="236"/>
      <c r="C7" s="15">
        <f>'[1]Data Entry'!B5-204926</f>
        <v>14557889</v>
      </c>
      <c r="D7" s="16">
        <f>'[1]Data Entry'!C5</f>
        <v>1128329</v>
      </c>
      <c r="E7" s="17">
        <f>'[1]Data Entry'!D5-204926</f>
        <v>13429560</v>
      </c>
      <c r="F7" s="44">
        <v>13634486</v>
      </c>
      <c r="G7" s="41">
        <v>-204926</v>
      </c>
      <c r="H7" s="36"/>
      <c r="I7" s="4"/>
      <c r="J7" s="13"/>
      <c r="K7" s="4"/>
      <c r="L7" s="6"/>
      <c r="M7" s="7"/>
      <c r="O7" s="14"/>
    </row>
    <row r="8" spans="1:15" ht="15.6" x14ac:dyDescent="0.3">
      <c r="A8" s="18" t="s">
        <v>8</v>
      </c>
      <c r="B8" s="19">
        <f>'[1]Data Entry'!B10</f>
        <v>0.95</v>
      </c>
      <c r="C8" s="20">
        <f>SUM(D8:E8)-0.1</f>
        <v>13829994.35</v>
      </c>
      <c r="D8" s="20">
        <f>(D7*95%)-0.1</f>
        <v>1071912.45</v>
      </c>
      <c r="E8" s="21">
        <f>E7*95%</f>
        <v>12758082</v>
      </c>
      <c r="F8" s="43">
        <v>11589313.1</v>
      </c>
      <c r="G8" s="39">
        <v>1168768.9000000004</v>
      </c>
      <c r="H8" s="36"/>
      <c r="I8" s="4"/>
      <c r="J8" s="13"/>
      <c r="K8" s="22"/>
      <c r="L8" s="6"/>
      <c r="M8" s="7"/>
      <c r="O8" s="14"/>
    </row>
    <row r="9" spans="1:15" ht="15.6" x14ac:dyDescent="0.3">
      <c r="A9" s="18" t="s">
        <v>9</v>
      </c>
      <c r="B9" s="19">
        <f>'[1]Data Entry'!B11</f>
        <v>0.05</v>
      </c>
      <c r="C9" s="20">
        <f>SUM(D9:E9)</f>
        <v>727894.55</v>
      </c>
      <c r="D9" s="20">
        <f>(D7*5%)+0.1</f>
        <v>56416.55</v>
      </c>
      <c r="E9" s="21">
        <f>E7*5%</f>
        <v>671478</v>
      </c>
      <c r="F9" s="43">
        <v>681724.3</v>
      </c>
      <c r="G9" s="39">
        <v>-10246.300000000047</v>
      </c>
      <c r="H9" s="36"/>
      <c r="I9" s="4"/>
      <c r="J9" s="13"/>
      <c r="K9" s="22"/>
      <c r="L9" s="6"/>
      <c r="M9" s="7"/>
      <c r="O9" s="14"/>
    </row>
    <row r="10" spans="1:15" ht="15" thickBot="1" x14ac:dyDescent="0.35">
      <c r="A10" s="23" t="s">
        <v>10</v>
      </c>
      <c r="B10" s="24">
        <f>'[1]Data Entry'!B12</f>
        <v>0</v>
      </c>
      <c r="C10" s="25">
        <f>SUM(D10:E10)</f>
        <v>0</v>
      </c>
      <c r="D10" s="26">
        <v>0</v>
      </c>
      <c r="E10" s="27">
        <v>0</v>
      </c>
      <c r="F10" s="42">
        <v>1363448.6</v>
      </c>
      <c r="G10" s="40">
        <v>-1363448.6</v>
      </c>
      <c r="H10" s="36"/>
    </row>
    <row r="11" spans="1:15" ht="18.600000000000001" thickBot="1" x14ac:dyDescent="0.4">
      <c r="A11" s="232" t="s">
        <v>11</v>
      </c>
      <c r="B11" s="233"/>
      <c r="C11" s="233"/>
      <c r="D11" s="233"/>
      <c r="E11" s="234"/>
    </row>
    <row r="12" spans="1:15" ht="30" customHeight="1" thickBot="1" x14ac:dyDescent="0.35">
      <c r="A12" s="8"/>
      <c r="B12" s="9" t="s">
        <v>3</v>
      </c>
      <c r="C12" s="10" t="s">
        <v>4</v>
      </c>
      <c r="D12" s="11" t="s">
        <v>5</v>
      </c>
      <c r="E12" s="12" t="s">
        <v>6</v>
      </c>
    </row>
    <row r="13" spans="1:15" ht="15" customHeight="1" x14ac:dyDescent="0.3">
      <c r="A13" s="235" t="s">
        <v>12</v>
      </c>
      <c r="B13" s="236"/>
      <c r="C13" s="15">
        <f>'[1]Data Entry'!B4</f>
        <v>15992583</v>
      </c>
      <c r="D13" s="16">
        <f>'[1]Data Entry'!C4</f>
        <v>15992583</v>
      </c>
      <c r="E13" s="17"/>
    </row>
    <row r="14" spans="1:15" x14ac:dyDescent="0.3">
      <c r="A14" s="18" t="s">
        <v>8</v>
      </c>
      <c r="B14" s="19">
        <f>'[1]Data Entry'!C10</f>
        <v>0.95</v>
      </c>
      <c r="C14" s="28">
        <f>SUM(D14:E14)</f>
        <v>15192953.85</v>
      </c>
      <c r="D14" s="28">
        <f>D13*95%</f>
        <v>15192953.85</v>
      </c>
      <c r="E14" s="29"/>
    </row>
    <row r="15" spans="1:15" x14ac:dyDescent="0.3">
      <c r="A15" s="18" t="s">
        <v>9</v>
      </c>
      <c r="B15" s="19">
        <f>'[1]Data Entry'!C11</f>
        <v>0.05</v>
      </c>
      <c r="C15" s="28">
        <f>SUM(D15:E15)</f>
        <v>799629.15</v>
      </c>
      <c r="D15" s="28">
        <f>D13*5%</f>
        <v>799629.15</v>
      </c>
      <c r="E15" s="29"/>
    </row>
    <row r="16" spans="1:15" ht="15" thickBot="1" x14ac:dyDescent="0.35">
      <c r="A16" s="23" t="s">
        <v>10</v>
      </c>
      <c r="B16" s="24">
        <f>'[1]Data Entry'!C12</f>
        <v>0</v>
      </c>
      <c r="C16" s="26">
        <f>SUM(D16:E16)</f>
        <v>0</v>
      </c>
      <c r="D16" s="26">
        <v>0</v>
      </c>
      <c r="E16" s="30"/>
    </row>
    <row r="17" spans="1:8" ht="18.600000000000001" thickBot="1" x14ac:dyDescent="0.4">
      <c r="A17" s="232" t="s">
        <v>13</v>
      </c>
      <c r="B17" s="233"/>
      <c r="C17" s="233"/>
      <c r="D17" s="233"/>
      <c r="E17" s="234"/>
      <c r="F17" s="237" t="s">
        <v>18</v>
      </c>
      <c r="G17" s="238"/>
    </row>
    <row r="18" spans="1:8" ht="30" customHeight="1" thickBot="1" x14ac:dyDescent="0.35">
      <c r="A18" s="8"/>
      <c r="B18" s="9" t="s">
        <v>3</v>
      </c>
      <c r="C18" s="10" t="s">
        <v>4</v>
      </c>
      <c r="D18" s="11" t="s">
        <v>5</v>
      </c>
      <c r="E18" s="12" t="s">
        <v>6</v>
      </c>
      <c r="F18" s="46" t="s">
        <v>19</v>
      </c>
      <c r="G18" s="45" t="s">
        <v>20</v>
      </c>
    </row>
    <row r="19" spans="1:8" ht="15" customHeight="1" x14ac:dyDescent="0.3">
      <c r="A19" s="235" t="s">
        <v>14</v>
      </c>
      <c r="B19" s="236"/>
      <c r="C19" s="15">
        <f>'[1]Data Entry'!B6-270723</f>
        <v>22002178</v>
      </c>
      <c r="D19" s="16">
        <f>'[1]Data Entry'!C6</f>
        <v>4260758</v>
      </c>
      <c r="E19" s="17">
        <f>'[1]Data Entry'!D6-270723</f>
        <v>17741420</v>
      </c>
      <c r="F19" s="51">
        <v>18012143</v>
      </c>
      <c r="G19" s="49">
        <v>-270723</v>
      </c>
    </row>
    <row r="20" spans="1:8" x14ac:dyDescent="0.3">
      <c r="A20" s="18" t="s">
        <v>8</v>
      </c>
      <c r="B20" s="19">
        <v>0.83399999999999996</v>
      </c>
      <c r="C20" s="59">
        <f>SUM(D20:E20)+0.25</f>
        <v>18401524.850000001</v>
      </c>
      <c r="D20" s="59">
        <f>D19*70%</f>
        <v>2982530.5999999996</v>
      </c>
      <c r="E20" s="58">
        <v>15418994</v>
      </c>
      <c r="F20" s="58">
        <v>13807285.799999999</v>
      </c>
      <c r="G20" s="47">
        <f>E20-F20</f>
        <v>1611708.2000000011</v>
      </c>
    </row>
    <row r="21" spans="1:8" x14ac:dyDescent="0.3">
      <c r="A21" s="18" t="s">
        <v>9</v>
      </c>
      <c r="B21" s="19">
        <v>0.05</v>
      </c>
      <c r="C21" s="59">
        <f>SUM(D21:E21)</f>
        <v>1100108.8999999999</v>
      </c>
      <c r="D21" s="59">
        <f>D19*5%</f>
        <v>213037.90000000002</v>
      </c>
      <c r="E21" s="58">
        <f>900607-13536</f>
        <v>887071</v>
      </c>
      <c r="F21" s="58">
        <v>900607.15</v>
      </c>
      <c r="G21" s="47">
        <f>E21-F21</f>
        <v>-13536.150000000023</v>
      </c>
    </row>
    <row r="22" spans="1:8" x14ac:dyDescent="0.3">
      <c r="A22" s="18" t="s">
        <v>10</v>
      </c>
      <c r="B22" s="19">
        <f>'[1]Data Entry'!D12</f>
        <v>0</v>
      </c>
      <c r="C22" s="59">
        <f>SUM(D22:E22)</f>
        <v>0</v>
      </c>
      <c r="D22" s="59">
        <v>0</v>
      </c>
      <c r="E22" s="58">
        <v>0</v>
      </c>
      <c r="F22" s="58">
        <v>1801214.3</v>
      </c>
      <c r="G22" s="47">
        <f>E22-F22</f>
        <v>-1801214.3</v>
      </c>
    </row>
    <row r="23" spans="1:8" ht="15" thickBot="1" x14ac:dyDescent="0.35">
      <c r="A23" s="23" t="s">
        <v>15</v>
      </c>
      <c r="B23" s="24">
        <v>0.11600000000000001</v>
      </c>
      <c r="C23" s="61">
        <f>SUM(D23:E23)-0.25</f>
        <v>2500544.15</v>
      </c>
      <c r="D23" s="61">
        <f>D19*25%-0.1</f>
        <v>1065189.3999999999</v>
      </c>
      <c r="E23" s="60">
        <v>1435355</v>
      </c>
      <c r="F23" s="60">
        <v>1503035.75</v>
      </c>
      <c r="G23" s="48">
        <f>E23-F23</f>
        <v>-67680.75</v>
      </c>
    </row>
    <row r="24" spans="1:8" ht="21.75" customHeight="1" thickBot="1" x14ac:dyDescent="0.35">
      <c r="A24" s="227" t="s">
        <v>16</v>
      </c>
      <c r="B24" s="228"/>
      <c r="C24" s="31">
        <f>SUM(C19,C13,C7)</f>
        <v>52552650</v>
      </c>
      <c r="D24" s="31">
        <f>SUM(D19,D13,D7)</f>
        <v>21381670</v>
      </c>
      <c r="E24" s="32">
        <f>SUM(E19,E13,E7)</f>
        <v>31170980</v>
      </c>
    </row>
    <row r="25" spans="1:8" ht="15" thickBot="1" x14ac:dyDescent="0.35">
      <c r="A25" s="33"/>
      <c r="B25" s="33"/>
      <c r="C25" s="33"/>
      <c r="D25" s="33"/>
      <c r="E25" s="33"/>
      <c r="F25" s="33"/>
      <c r="G25" s="33"/>
      <c r="H25" s="33"/>
    </row>
    <row r="26" spans="1:8" ht="25.5" customHeight="1" x14ac:dyDescent="0.35">
      <c r="A26" s="229" t="s">
        <v>17</v>
      </c>
      <c r="B26" s="229"/>
      <c r="C26" s="229"/>
      <c r="D26" s="229"/>
    </row>
    <row r="27" spans="1:8" x14ac:dyDescent="0.3">
      <c r="A27" s="230" t="s">
        <v>21</v>
      </c>
      <c r="B27" s="230"/>
      <c r="C27" s="230"/>
      <c r="D27" s="230"/>
    </row>
    <row r="28" spans="1:8" ht="10.5" customHeight="1" x14ac:dyDescent="0.3">
      <c r="A28" s="230"/>
      <c r="B28" s="230"/>
      <c r="C28" s="230"/>
      <c r="D28" s="230"/>
    </row>
    <row r="29" spans="1:8" x14ac:dyDescent="0.3">
      <c r="A29" s="230"/>
      <c r="B29" s="230"/>
      <c r="C29" s="230"/>
      <c r="D29" s="230"/>
    </row>
    <row r="30" spans="1:8" x14ac:dyDescent="0.3">
      <c r="A30" s="230"/>
      <c r="B30" s="230"/>
      <c r="C30" s="230"/>
      <c r="D30" s="230"/>
    </row>
    <row r="31" spans="1:8" x14ac:dyDescent="0.3">
      <c r="A31" s="230"/>
      <c r="B31" s="230"/>
      <c r="C31" s="230"/>
      <c r="D31" s="230"/>
    </row>
    <row r="32" spans="1:8" x14ac:dyDescent="0.3">
      <c r="A32" s="230"/>
      <c r="B32" s="230"/>
      <c r="C32" s="230"/>
      <c r="D32" s="230"/>
    </row>
    <row r="33" spans="1:4" x14ac:dyDescent="0.3">
      <c r="A33" s="230"/>
      <c r="B33" s="230"/>
      <c r="C33" s="230"/>
      <c r="D33" s="230"/>
    </row>
    <row r="34" spans="1:4" x14ac:dyDescent="0.3">
      <c r="A34" s="230"/>
      <c r="B34" s="230"/>
      <c r="C34" s="230"/>
      <c r="D34" s="230"/>
    </row>
    <row r="35" spans="1:4" x14ac:dyDescent="0.3">
      <c r="A35" s="230"/>
      <c r="B35" s="230"/>
      <c r="C35" s="230"/>
      <c r="D35" s="230"/>
    </row>
    <row r="36" spans="1:4" x14ac:dyDescent="0.3">
      <c r="A36" s="230"/>
      <c r="B36" s="230"/>
      <c r="C36" s="230"/>
      <c r="D36" s="230"/>
    </row>
    <row r="37" spans="1:4" x14ac:dyDescent="0.3">
      <c r="A37" s="230"/>
      <c r="B37" s="230"/>
      <c r="C37" s="230"/>
      <c r="D37" s="230"/>
    </row>
    <row r="38" spans="1:4" x14ac:dyDescent="0.3">
      <c r="A38" s="230"/>
      <c r="B38" s="230"/>
      <c r="C38" s="230"/>
      <c r="D38" s="230"/>
    </row>
    <row r="39" spans="1:4" x14ac:dyDescent="0.3">
      <c r="A39" s="230"/>
      <c r="B39" s="230"/>
      <c r="C39" s="230"/>
      <c r="D39" s="230"/>
    </row>
    <row r="40" spans="1:4" x14ac:dyDescent="0.3">
      <c r="A40" s="230"/>
      <c r="B40" s="230"/>
      <c r="C40" s="230"/>
      <c r="D40" s="230"/>
    </row>
    <row r="41" spans="1:4" x14ac:dyDescent="0.3">
      <c r="A41" s="230"/>
      <c r="B41" s="230"/>
      <c r="C41" s="230"/>
      <c r="D41" s="230"/>
    </row>
  </sheetData>
  <mergeCells count="13">
    <mergeCell ref="F5:G5"/>
    <mergeCell ref="F17:G17"/>
    <mergeCell ref="A3:G3"/>
    <mergeCell ref="A17:E17"/>
    <mergeCell ref="A19:B19"/>
    <mergeCell ref="A24:B24"/>
    <mergeCell ref="A26:D26"/>
    <mergeCell ref="A27:D41"/>
    <mergeCell ref="A1:B1"/>
    <mergeCell ref="A5:E5"/>
    <mergeCell ref="A7:B7"/>
    <mergeCell ref="A11:E11"/>
    <mergeCell ref="A13:B13"/>
  </mergeCells>
  <printOptions horizontalCentered="1" verticalCentered="1"/>
  <pageMargins left="0" right="0" top="0.75" bottom="0" header="0.3" footer="0.3"/>
  <pageSetup scale="80" orientation="landscape" horizontalDpi="300" verticalDpi="300" r:id="rId1"/>
  <headerFooter>
    <oddHeader xml:space="preserve">&amp;C&amp;"-,Bold"&amp;12
WIA Planning Allocations
</oddHeader>
  </headerFooter>
  <ignoredErrors>
    <ignoredError sqref="C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35"/>
  <sheetViews>
    <sheetView view="pageLayout" topLeftCell="A25" zoomScaleNormal="100" workbookViewId="0">
      <selection activeCell="K23" sqref="K23"/>
    </sheetView>
  </sheetViews>
  <sheetFormatPr defaultColWidth="9.109375" defaultRowHeight="14.4" x14ac:dyDescent="0.3"/>
  <cols>
    <col min="1" max="2" width="9.109375" style="50"/>
    <col min="3" max="3" width="15.109375" style="50" customWidth="1"/>
    <col min="4" max="4" width="14.33203125" style="50" customWidth="1"/>
    <col min="5" max="5" width="14.5546875" style="50" customWidth="1"/>
    <col min="6" max="6" width="3.109375" style="50" customWidth="1"/>
    <col min="7" max="7" width="13" style="50" customWidth="1"/>
    <col min="8" max="8" width="6.109375" style="50" customWidth="1"/>
    <col min="9" max="9" width="12.88671875" style="50" customWidth="1"/>
    <col min="10" max="10" width="12.6640625" style="50" customWidth="1"/>
    <col min="11" max="11" width="15" style="50" bestFit="1" customWidth="1"/>
    <col min="12" max="16384" width="9.109375" style="50"/>
  </cols>
  <sheetData>
    <row r="1" spans="1:11" ht="16.2" thickBot="1" x14ac:dyDescent="0.35">
      <c r="A1" s="240" t="s">
        <v>44</v>
      </c>
      <c r="B1" s="241"/>
      <c r="C1" s="241"/>
      <c r="D1" s="241"/>
      <c r="E1" s="242"/>
      <c r="G1" s="263" t="s">
        <v>42</v>
      </c>
      <c r="H1" s="264"/>
      <c r="I1" s="264"/>
      <c r="J1" s="264"/>
      <c r="K1" s="265"/>
    </row>
    <row r="2" spans="1:11" ht="16.5" customHeight="1" x14ac:dyDescent="0.3">
      <c r="A2" s="88"/>
      <c r="B2" s="89"/>
      <c r="C2" s="267" t="s">
        <v>41</v>
      </c>
      <c r="D2" s="268"/>
      <c r="E2" s="73" t="s">
        <v>36</v>
      </c>
      <c r="G2" s="64"/>
      <c r="H2" s="65"/>
      <c r="I2" s="245" t="s">
        <v>35</v>
      </c>
      <c r="J2" s="246"/>
      <c r="K2" s="73" t="s">
        <v>36</v>
      </c>
    </row>
    <row r="3" spans="1:11" ht="16.5" customHeight="1" x14ac:dyDescent="0.3">
      <c r="A3" s="90"/>
      <c r="B3" s="91"/>
      <c r="C3" s="269" t="s">
        <v>37</v>
      </c>
      <c r="D3" s="271" t="s">
        <v>38</v>
      </c>
      <c r="E3" s="74" t="s">
        <v>39</v>
      </c>
      <c r="G3" s="52"/>
      <c r="H3" s="53"/>
      <c r="I3" s="275" t="s">
        <v>37</v>
      </c>
      <c r="J3" s="277" t="s">
        <v>38</v>
      </c>
      <c r="K3" s="74" t="s">
        <v>39</v>
      </c>
    </row>
    <row r="4" spans="1:11" ht="16.5" customHeight="1" thickBot="1" x14ac:dyDescent="0.35">
      <c r="A4" s="90"/>
      <c r="B4" s="91"/>
      <c r="C4" s="270"/>
      <c r="D4" s="272"/>
      <c r="E4" s="75" t="s">
        <v>40</v>
      </c>
      <c r="G4" s="52"/>
      <c r="H4" s="53"/>
      <c r="I4" s="276"/>
      <c r="J4" s="278"/>
      <c r="K4" s="75" t="s">
        <v>40</v>
      </c>
    </row>
    <row r="5" spans="1:11" ht="16.5" customHeight="1" x14ac:dyDescent="0.3">
      <c r="A5" s="273" t="s">
        <v>22</v>
      </c>
      <c r="B5" s="274"/>
      <c r="C5" s="54">
        <v>569890.04259288334</v>
      </c>
      <c r="D5" s="66">
        <v>4.120681673256673E-2</v>
      </c>
      <c r="E5" s="69">
        <v>569890.39204134268</v>
      </c>
      <c r="G5" s="243" t="s">
        <v>22</v>
      </c>
      <c r="H5" s="244"/>
      <c r="I5" s="54">
        <v>44170.444931910395</v>
      </c>
      <c r="J5" s="66">
        <v>4.1207138635165959E-2</v>
      </c>
      <c r="K5" s="69">
        <v>44170.126964982897</v>
      </c>
    </row>
    <row r="6" spans="1:11" ht="16.5" customHeight="1" x14ac:dyDescent="0.3">
      <c r="A6" s="253" t="s">
        <v>23</v>
      </c>
      <c r="B6" s="254"/>
      <c r="C6" s="55">
        <v>1064470.3601703481</v>
      </c>
      <c r="D6" s="63">
        <v>7.6968242591534258E-2</v>
      </c>
      <c r="E6" s="70">
        <v>1064470.3035844523</v>
      </c>
      <c r="G6" s="251" t="s">
        <v>23</v>
      </c>
      <c r="H6" s="252"/>
      <c r="I6" s="55">
        <v>82503.20341531848</v>
      </c>
      <c r="J6" s="63">
        <v>7.6968229462507393E-2</v>
      </c>
      <c r="K6" s="70">
        <v>82503.21310271931</v>
      </c>
    </row>
    <row r="7" spans="1:11" ht="16.5" customHeight="1" x14ac:dyDescent="0.3">
      <c r="A7" s="253" t="s">
        <v>24</v>
      </c>
      <c r="B7" s="254"/>
      <c r="C7" s="55">
        <v>739511.74619274319</v>
      </c>
      <c r="D7" s="63">
        <v>5.3471587007028906E-2</v>
      </c>
      <c r="E7" s="70">
        <v>633126.2294774577</v>
      </c>
      <c r="G7" s="251" t="s">
        <v>24</v>
      </c>
      <c r="H7" s="252"/>
      <c r="I7" s="55">
        <v>57316.826506359932</v>
      </c>
      <c r="J7" s="63">
        <v>5.3471555915186854E-2</v>
      </c>
      <c r="K7" s="70">
        <v>49071.306222076943</v>
      </c>
    </row>
    <row r="8" spans="1:11" ht="16.5" customHeight="1" x14ac:dyDescent="0.3">
      <c r="A8" s="253" t="s">
        <v>25</v>
      </c>
      <c r="B8" s="254"/>
      <c r="C8" s="55">
        <v>1348683.7489905832</v>
      </c>
      <c r="D8" s="63">
        <v>9.751874909410814E-2</v>
      </c>
      <c r="E8" s="70">
        <v>1059786.4371629634</v>
      </c>
      <c r="G8" s="251" t="s">
        <v>25</v>
      </c>
      <c r="H8" s="252"/>
      <c r="I8" s="55">
        <v>104531.49848225329</v>
      </c>
      <c r="J8" s="63">
        <v>9.7518690525754501E-2</v>
      </c>
      <c r="K8" s="70">
        <v>82140.183689671801</v>
      </c>
    </row>
    <row r="9" spans="1:11" ht="16.5" customHeight="1" x14ac:dyDescent="0.3">
      <c r="A9" s="253" t="s">
        <v>26</v>
      </c>
      <c r="B9" s="254"/>
      <c r="C9" s="55">
        <v>3481157.7503634971</v>
      </c>
      <c r="D9" s="63">
        <v>0.25171071384880916</v>
      </c>
      <c r="E9" s="70">
        <v>2544865.0950352997</v>
      </c>
      <c r="G9" s="251" t="s">
        <v>26</v>
      </c>
      <c r="H9" s="252"/>
      <c r="I9" s="55">
        <v>269811.85804875207</v>
      </c>
      <c r="J9" s="63">
        <v>0.25171072324866839</v>
      </c>
      <c r="K9" s="70">
        <v>197243.21716290293</v>
      </c>
    </row>
    <row r="10" spans="1:11" ht="16.5" customHeight="1" x14ac:dyDescent="0.3">
      <c r="A10" s="253" t="s">
        <v>27</v>
      </c>
      <c r="B10" s="254"/>
      <c r="C10" s="55">
        <v>1564301.0326301313</v>
      </c>
      <c r="D10" s="63">
        <v>0.1131093038103903</v>
      </c>
      <c r="E10" s="70">
        <v>1512876.0959711834</v>
      </c>
      <c r="G10" s="251" t="s">
        <v>27</v>
      </c>
      <c r="H10" s="252"/>
      <c r="I10" s="55">
        <v>121243.2709651898</v>
      </c>
      <c r="J10" s="63">
        <v>0.1131093038103903</v>
      </c>
      <c r="K10" s="70">
        <v>117257.51157511545</v>
      </c>
    </row>
    <row r="11" spans="1:11" ht="16.5" customHeight="1" x14ac:dyDescent="0.3">
      <c r="A11" s="253" t="s">
        <v>28</v>
      </c>
      <c r="B11" s="254"/>
      <c r="C11" s="55">
        <v>1364837.7778971316</v>
      </c>
      <c r="D11" s="63">
        <v>9.8686792153109715E-2</v>
      </c>
      <c r="E11" s="70">
        <v>1364837.9486545546</v>
      </c>
      <c r="G11" s="251" t="s">
        <v>28</v>
      </c>
      <c r="H11" s="252"/>
      <c r="I11" s="55">
        <v>105783.56463294363</v>
      </c>
      <c r="J11" s="63">
        <v>9.8686758077064632E-2</v>
      </c>
      <c r="K11" s="70">
        <v>105783.61439426603</v>
      </c>
    </row>
    <row r="12" spans="1:11" ht="16.5" customHeight="1" x14ac:dyDescent="0.3">
      <c r="A12" s="253" t="s">
        <v>29</v>
      </c>
      <c r="B12" s="254"/>
      <c r="C12" s="55">
        <v>726451.0646846093</v>
      </c>
      <c r="D12" s="63">
        <v>5.2527213410221624E-2</v>
      </c>
      <c r="E12" s="70">
        <v>726451.43242109404</v>
      </c>
      <c r="G12" s="251" t="s">
        <v>29</v>
      </c>
      <c r="H12" s="252"/>
      <c r="I12" s="55">
        <v>56304.539180593783</v>
      </c>
      <c r="J12" s="63">
        <v>5.2527180909778391E-2</v>
      </c>
      <c r="K12" s="70">
        <v>56304.602520138003</v>
      </c>
    </row>
    <row r="13" spans="1:11" ht="16.5" customHeight="1" x14ac:dyDescent="0.3">
      <c r="A13" s="253" t="s">
        <v>30</v>
      </c>
      <c r="B13" s="254"/>
      <c r="C13" s="55">
        <v>998833.15969067276</v>
      </c>
      <c r="D13" s="63">
        <v>7.2222239171823868E-2</v>
      </c>
      <c r="E13" s="70">
        <v>998833.37859425927</v>
      </c>
      <c r="G13" s="251" t="s">
        <v>30</v>
      </c>
      <c r="H13" s="252"/>
      <c r="I13" s="55">
        <v>77416.217316257826</v>
      </c>
      <c r="J13" s="63">
        <v>7.2222519027797305E-2</v>
      </c>
      <c r="K13" s="70">
        <v>77415.934301574744</v>
      </c>
    </row>
    <row r="14" spans="1:11" ht="16.5" customHeight="1" x14ac:dyDescent="0.3">
      <c r="A14" s="253" t="s">
        <v>31</v>
      </c>
      <c r="B14" s="254"/>
      <c r="C14" s="55">
        <v>474122.2413967044</v>
      </c>
      <c r="D14" s="63">
        <v>3.4282171734705331E-2</v>
      </c>
      <c r="E14" s="70">
        <v>474122.09293579031</v>
      </c>
      <c r="G14" s="251" t="s">
        <v>31</v>
      </c>
      <c r="H14" s="252"/>
      <c r="I14" s="55">
        <v>36747.095654248318</v>
      </c>
      <c r="J14" s="63">
        <v>3.4281806927653764E-2</v>
      </c>
      <c r="K14" s="70">
        <v>36747.475188804448</v>
      </c>
    </row>
    <row r="15" spans="1:11" ht="16.5" customHeight="1" x14ac:dyDescent="0.3">
      <c r="A15" s="253" t="s">
        <v>32</v>
      </c>
      <c r="B15" s="254"/>
      <c r="C15" s="55">
        <v>547498.49005699309</v>
      </c>
      <c r="D15" s="63">
        <v>3.9587759488635882E-2</v>
      </c>
      <c r="E15" s="70">
        <v>547498.31042423239</v>
      </c>
      <c r="G15" s="251" t="s">
        <v>32</v>
      </c>
      <c r="H15" s="252"/>
      <c r="I15" s="55">
        <v>42434.533905696182</v>
      </c>
      <c r="J15" s="63">
        <v>3.958768638772335E-2</v>
      </c>
      <c r="K15" s="70">
        <v>42434.598340793927</v>
      </c>
    </row>
    <row r="16" spans="1:11" ht="16.5" customHeight="1" thickBot="1" x14ac:dyDescent="0.35">
      <c r="A16" s="255" t="s">
        <v>33</v>
      </c>
      <c r="B16" s="256"/>
      <c r="C16" s="56">
        <v>950237.05217024474</v>
      </c>
      <c r="D16" s="67">
        <v>6.8708419405120347E-2</v>
      </c>
      <c r="E16" s="71">
        <v>950237.32316731976</v>
      </c>
      <c r="G16" s="259" t="s">
        <v>33</v>
      </c>
      <c r="H16" s="260"/>
      <c r="I16" s="56">
        <v>73649.438663431909</v>
      </c>
      <c r="J16" s="67">
        <v>6.8708445977497423E-2</v>
      </c>
      <c r="K16" s="71">
        <v>73649.431184165558</v>
      </c>
    </row>
    <row r="17" spans="1:11" ht="16.5" customHeight="1" thickBot="1" x14ac:dyDescent="0.35">
      <c r="A17" s="257" t="s">
        <v>34</v>
      </c>
      <c r="B17" s="258"/>
      <c r="C17" s="57">
        <v>13829994.466836544</v>
      </c>
      <c r="D17" s="68">
        <v>1.0000000084480543</v>
      </c>
      <c r="E17" s="72">
        <v>12446995.039469952</v>
      </c>
      <c r="G17" s="261" t="s">
        <v>34</v>
      </c>
      <c r="H17" s="262"/>
      <c r="I17" s="57">
        <v>1071912.4917029554</v>
      </c>
      <c r="J17" s="68">
        <v>1.0000000389051882</v>
      </c>
      <c r="K17" s="72">
        <v>964721.21464721207</v>
      </c>
    </row>
    <row r="18" spans="1:11" ht="11.25" customHeight="1" thickBot="1" x14ac:dyDescent="0.35">
      <c r="A18"/>
      <c r="B18"/>
      <c r="C18" s="86"/>
      <c r="D18" s="87"/>
      <c r="E18"/>
    </row>
    <row r="19" spans="1:11" ht="16.5" customHeight="1" thickBot="1" x14ac:dyDescent="0.35">
      <c r="A19" s="263" t="s">
        <v>43</v>
      </c>
      <c r="B19" s="264"/>
      <c r="C19" s="264"/>
      <c r="D19" s="264"/>
      <c r="E19" s="265"/>
      <c r="F19" s="237" t="s">
        <v>18</v>
      </c>
      <c r="G19" s="266"/>
      <c r="H19" s="266"/>
      <c r="I19" s="238"/>
    </row>
    <row r="20" spans="1:11" ht="16.5" customHeight="1" x14ac:dyDescent="0.3">
      <c r="A20" s="64"/>
      <c r="B20" s="65"/>
      <c r="C20" s="245" t="s">
        <v>35</v>
      </c>
      <c r="D20" s="246"/>
      <c r="E20" s="73" t="s">
        <v>36</v>
      </c>
      <c r="F20" s="279" t="s">
        <v>19</v>
      </c>
      <c r="G20" s="280"/>
      <c r="H20" s="280" t="s">
        <v>20</v>
      </c>
      <c r="I20" s="285"/>
    </row>
    <row r="21" spans="1:11" ht="16.5" customHeight="1" x14ac:dyDescent="0.3">
      <c r="A21" s="52"/>
      <c r="B21" s="53"/>
      <c r="C21" s="247" t="s">
        <v>37</v>
      </c>
      <c r="D21" s="249" t="s">
        <v>38</v>
      </c>
      <c r="E21" s="74" t="s">
        <v>39</v>
      </c>
      <c r="F21" s="281"/>
      <c r="G21" s="282"/>
      <c r="H21" s="282"/>
      <c r="I21" s="286"/>
    </row>
    <row r="22" spans="1:11" ht="16.5" customHeight="1" thickBot="1" x14ac:dyDescent="0.35">
      <c r="A22" s="52"/>
      <c r="B22" s="53"/>
      <c r="C22" s="248"/>
      <c r="D22" s="250"/>
      <c r="E22" s="75" t="s">
        <v>40</v>
      </c>
      <c r="F22" s="283"/>
      <c r="G22" s="284"/>
      <c r="H22" s="284"/>
      <c r="I22" s="287"/>
    </row>
    <row r="23" spans="1:11" ht="16.5" customHeight="1" x14ac:dyDescent="0.3">
      <c r="A23" s="243" t="s">
        <v>22</v>
      </c>
      <c r="B23" s="244"/>
      <c r="C23" s="54">
        <v>525720.50199505303</v>
      </c>
      <c r="D23" s="66">
        <v>4.1206860247100859E-2</v>
      </c>
      <c r="E23" s="69">
        <v>525720.26919704396</v>
      </c>
      <c r="F23" s="290">
        <v>477559</v>
      </c>
      <c r="G23" s="291"/>
      <c r="H23" s="288">
        <f>C23-F23</f>
        <v>48161.501995053026</v>
      </c>
      <c r="I23" s="289"/>
    </row>
    <row r="24" spans="1:11" ht="16.5" customHeight="1" x14ac:dyDescent="0.3">
      <c r="A24" s="251" t="s">
        <v>23</v>
      </c>
      <c r="B24" s="252"/>
      <c r="C24" s="55">
        <v>981967.41408311913</v>
      </c>
      <c r="D24" s="63">
        <v>7.6968263261132763E-2</v>
      </c>
      <c r="E24" s="70">
        <v>981967.09817855689</v>
      </c>
      <c r="F24" s="292">
        <v>892009</v>
      </c>
      <c r="G24" s="293"/>
      <c r="H24" s="292">
        <f t="shared" ref="H24:H34" si="0">C24-F24</f>
        <v>89958.414083119133</v>
      </c>
      <c r="I24" s="293"/>
    </row>
    <row r="25" spans="1:11" ht="16.5" customHeight="1" x14ac:dyDescent="0.3">
      <c r="A25" s="251" t="s">
        <v>24</v>
      </c>
      <c r="B25" s="252"/>
      <c r="C25" s="55">
        <v>682194.5419029186</v>
      </c>
      <c r="D25" s="63">
        <v>5.347155958888794E-2</v>
      </c>
      <c r="E25" s="70">
        <v>584054.92783330195</v>
      </c>
      <c r="F25" s="292">
        <v>619699</v>
      </c>
      <c r="G25" s="293"/>
      <c r="H25" s="292">
        <f t="shared" si="0"/>
        <v>62495.541902918601</v>
      </c>
      <c r="I25" s="293"/>
    </row>
    <row r="26" spans="1:11" ht="16.5" customHeight="1" x14ac:dyDescent="0.3">
      <c r="A26" s="251" t="s">
        <v>25</v>
      </c>
      <c r="B26" s="252"/>
      <c r="C26" s="55">
        <v>1244151.4345675532</v>
      </c>
      <c r="D26" s="63">
        <v>9.7518689295738439E-2</v>
      </c>
      <c r="E26" s="70">
        <v>977646.26113624813</v>
      </c>
      <c r="F26" s="292">
        <v>1130175</v>
      </c>
      <c r="G26" s="293"/>
      <c r="H26" s="292">
        <f t="shared" si="0"/>
        <v>113976.43456755322</v>
      </c>
      <c r="I26" s="293"/>
    </row>
    <row r="27" spans="1:11" ht="16.5" customHeight="1" x14ac:dyDescent="0.3">
      <c r="A27" s="251" t="s">
        <v>26</v>
      </c>
      <c r="B27" s="252"/>
      <c r="C27" s="55">
        <v>3211346.2671433068</v>
      </c>
      <c r="D27" s="63">
        <v>0.25171074046579311</v>
      </c>
      <c r="E27" s="70">
        <v>2347621.8962734533</v>
      </c>
      <c r="F27" s="292">
        <v>2917154</v>
      </c>
      <c r="G27" s="293"/>
      <c r="H27" s="292">
        <f t="shared" si="0"/>
        <v>294192.26714330679</v>
      </c>
      <c r="I27" s="293"/>
    </row>
    <row r="28" spans="1:11" ht="16.5" customHeight="1" x14ac:dyDescent="0.3">
      <c r="A28" s="251" t="s">
        <v>27</v>
      </c>
      <c r="B28" s="252"/>
      <c r="C28" s="55">
        <v>1443057.8721416483</v>
      </c>
      <c r="D28" s="63">
        <v>0.11310931158317122</v>
      </c>
      <c r="E28" s="70">
        <v>1395618.595335162</v>
      </c>
      <c r="F28" s="292">
        <v>1310860</v>
      </c>
      <c r="G28" s="293"/>
      <c r="H28" s="292">
        <f t="shared" si="0"/>
        <v>132197.87214164832</v>
      </c>
      <c r="I28" s="293"/>
    </row>
    <row r="29" spans="1:11" ht="16.5" customHeight="1" x14ac:dyDescent="0.3">
      <c r="A29" s="251" t="s">
        <v>28</v>
      </c>
      <c r="B29" s="252"/>
      <c r="C29" s="55">
        <v>1259054.2235748775</v>
      </c>
      <c r="D29" s="63">
        <v>9.8686795050766843E-2</v>
      </c>
      <c r="E29" s="70">
        <v>1259054.3441289691</v>
      </c>
      <c r="F29" s="292">
        <v>1143712</v>
      </c>
      <c r="G29" s="293"/>
      <c r="H29" s="292">
        <f t="shared" si="0"/>
        <v>115342.22357487748</v>
      </c>
      <c r="I29" s="293"/>
    </row>
    <row r="30" spans="1:11" ht="16.5" customHeight="1" x14ac:dyDescent="0.3">
      <c r="A30" s="251" t="s">
        <v>29</v>
      </c>
      <c r="B30" s="252"/>
      <c r="C30" s="55">
        <v>670146.59986999608</v>
      </c>
      <c r="D30" s="63">
        <v>5.2527221558067744E-2</v>
      </c>
      <c r="E30" s="70">
        <v>670146.68515368004</v>
      </c>
      <c r="F30" s="292">
        <v>608754</v>
      </c>
      <c r="G30" s="293"/>
      <c r="H30" s="292">
        <f t="shared" si="0"/>
        <v>61392.599869996076</v>
      </c>
      <c r="I30" s="293"/>
    </row>
    <row r="31" spans="1:11" ht="16.5" customHeight="1" x14ac:dyDescent="0.3">
      <c r="A31" s="251" t="s">
        <v>30</v>
      </c>
      <c r="B31" s="252"/>
      <c r="C31" s="55">
        <v>921417.49817136396</v>
      </c>
      <c r="D31" s="63">
        <v>7.2222258657011609E-2</v>
      </c>
      <c r="E31" s="70">
        <v>921417.45151490998</v>
      </c>
      <c r="F31" s="292">
        <v>837006</v>
      </c>
      <c r="G31" s="293"/>
      <c r="H31" s="292">
        <f t="shared" si="0"/>
        <v>84411.498171363957</v>
      </c>
      <c r="I31" s="293"/>
    </row>
    <row r="32" spans="1:11" ht="16.5" customHeight="1" x14ac:dyDescent="0.3">
      <c r="A32" s="251" t="s">
        <v>31</v>
      </c>
      <c r="B32" s="252"/>
      <c r="C32" s="55">
        <v>437374.52898237517</v>
      </c>
      <c r="D32" s="63">
        <v>3.4282153773770634E-2</v>
      </c>
      <c r="E32" s="70">
        <v>437374.62117520196</v>
      </c>
      <c r="F32" s="292">
        <v>397307</v>
      </c>
      <c r="G32" s="293"/>
      <c r="H32" s="292">
        <f t="shared" si="0"/>
        <v>40067.528982375166</v>
      </c>
      <c r="I32" s="293"/>
    </row>
    <row r="33" spans="1:9" ht="16.5" customHeight="1" x14ac:dyDescent="0.3">
      <c r="A33" s="251" t="s">
        <v>32</v>
      </c>
      <c r="B33" s="252"/>
      <c r="C33" s="55">
        <v>505063.18911154743</v>
      </c>
      <c r="D33" s="63">
        <v>3.9587705198285091E-2</v>
      </c>
      <c r="E33" s="70">
        <v>505063.4160422131</v>
      </c>
      <c r="F33" s="292">
        <v>458794</v>
      </c>
      <c r="G33" s="293"/>
      <c r="H33" s="292">
        <f t="shared" si="0"/>
        <v>46269.189111547428</v>
      </c>
      <c r="I33" s="293"/>
    </row>
    <row r="34" spans="1:9" ht="16.5" customHeight="1" thickBot="1" x14ac:dyDescent="0.35">
      <c r="A34" s="259" t="s">
        <v>33</v>
      </c>
      <c r="B34" s="260"/>
      <c r="C34" s="56">
        <v>876587.62068029412</v>
      </c>
      <c r="D34" s="67">
        <v>6.8708417196275587E-2</v>
      </c>
      <c r="E34" s="71">
        <v>876587.89885399817</v>
      </c>
      <c r="F34" s="298">
        <v>796284</v>
      </c>
      <c r="G34" s="299"/>
      <c r="H34" s="298">
        <f t="shared" si="0"/>
        <v>80303.620680294116</v>
      </c>
      <c r="I34" s="299"/>
    </row>
    <row r="35" spans="1:9" ht="16.5" customHeight="1" thickBot="1" x14ac:dyDescent="0.35">
      <c r="A35" s="261" t="s">
        <v>34</v>
      </c>
      <c r="B35" s="262"/>
      <c r="C35" s="57">
        <v>12758081.692224054</v>
      </c>
      <c r="D35" s="68">
        <v>0.99999997587600187</v>
      </c>
      <c r="E35" s="72">
        <v>11482273.464822738</v>
      </c>
      <c r="F35" s="294">
        <f>SUM(F23:G34)</f>
        <v>11589313</v>
      </c>
      <c r="G35" s="295"/>
      <c r="H35" s="296">
        <f>SUM(H23:I34)</f>
        <v>1168768.6922240532</v>
      </c>
      <c r="I35" s="297"/>
    </row>
  </sheetData>
  <mergeCells count="80">
    <mergeCell ref="F35:G35"/>
    <mergeCell ref="H35:I35"/>
    <mergeCell ref="F32:G32"/>
    <mergeCell ref="H32:I32"/>
    <mergeCell ref="F33:G33"/>
    <mergeCell ref="H33:I33"/>
    <mergeCell ref="F34:G34"/>
    <mergeCell ref="H34:I34"/>
    <mergeCell ref="F29:G29"/>
    <mergeCell ref="H29:I29"/>
    <mergeCell ref="F30:G30"/>
    <mergeCell ref="H30:I30"/>
    <mergeCell ref="F31:G31"/>
    <mergeCell ref="H31:I31"/>
    <mergeCell ref="H26:I26"/>
    <mergeCell ref="F27:G27"/>
    <mergeCell ref="H27:I27"/>
    <mergeCell ref="F28:G28"/>
    <mergeCell ref="H28:I28"/>
    <mergeCell ref="F20:G22"/>
    <mergeCell ref="H20:I22"/>
    <mergeCell ref="A30:B30"/>
    <mergeCell ref="A24:B24"/>
    <mergeCell ref="A25:B25"/>
    <mergeCell ref="A26:B26"/>
    <mergeCell ref="A27:B27"/>
    <mergeCell ref="A28:B28"/>
    <mergeCell ref="A29:B29"/>
    <mergeCell ref="H23:I23"/>
    <mergeCell ref="F23:G23"/>
    <mergeCell ref="F24:G24"/>
    <mergeCell ref="H24:I24"/>
    <mergeCell ref="F25:G25"/>
    <mergeCell ref="H25:I25"/>
    <mergeCell ref="F26:G26"/>
    <mergeCell ref="A31:B31"/>
    <mergeCell ref="A32:B32"/>
    <mergeCell ref="A33:B33"/>
    <mergeCell ref="A34:B34"/>
    <mergeCell ref="A35:B35"/>
    <mergeCell ref="I2:J2"/>
    <mergeCell ref="I3:I4"/>
    <mergeCell ref="J3:J4"/>
    <mergeCell ref="A12:B12"/>
    <mergeCell ref="A13:B13"/>
    <mergeCell ref="G12:H12"/>
    <mergeCell ref="G13:H13"/>
    <mergeCell ref="G11:H11"/>
    <mergeCell ref="A23:B23"/>
    <mergeCell ref="G1:K1"/>
    <mergeCell ref="A8:B8"/>
    <mergeCell ref="A9:B9"/>
    <mergeCell ref="A10:B10"/>
    <mergeCell ref="A11:B11"/>
    <mergeCell ref="C2:D2"/>
    <mergeCell ref="C3:C4"/>
    <mergeCell ref="D3:D4"/>
    <mergeCell ref="A5:B5"/>
    <mergeCell ref="A6:B6"/>
    <mergeCell ref="A7:B7"/>
    <mergeCell ref="G6:H6"/>
    <mergeCell ref="G7:H7"/>
    <mergeCell ref="G8:H8"/>
    <mergeCell ref="G9:H9"/>
    <mergeCell ref="A1:E1"/>
    <mergeCell ref="G5:H5"/>
    <mergeCell ref="C20:D20"/>
    <mergeCell ref="C21:C22"/>
    <mergeCell ref="D21:D22"/>
    <mergeCell ref="G10:H10"/>
    <mergeCell ref="A14:B14"/>
    <mergeCell ref="A15:B15"/>
    <mergeCell ref="A16:B16"/>
    <mergeCell ref="A17:B17"/>
    <mergeCell ref="G14:H14"/>
    <mergeCell ref="G15:H15"/>
    <mergeCell ref="G16:H16"/>
    <mergeCell ref="G17:H17"/>
    <mergeCell ref="A19:E19"/>
    <mergeCell ref="F19:I19"/>
  </mergeCells>
  <printOptions horizontalCentered="1" verticalCentered="1"/>
  <pageMargins left="0" right="0" top="0.58333333333333304" bottom="0" header="0.3" footer="0.3"/>
  <pageSetup orientation="landscape" horizontalDpi="300" verticalDpi="300" r:id="rId1"/>
  <headerFooter>
    <oddHeader>&amp;C&amp;"-,Bold"&amp;12WIA Adult Allocation by WDA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49"/>
  <sheetViews>
    <sheetView view="pageLayout" topLeftCell="B28" zoomScaleNormal="100" workbookViewId="0">
      <selection activeCell="G43" sqref="G43"/>
    </sheetView>
  </sheetViews>
  <sheetFormatPr defaultColWidth="9.109375" defaultRowHeight="14.4" x14ac:dyDescent="0.3"/>
  <cols>
    <col min="1" max="2" width="9.109375" style="50"/>
    <col min="3" max="3" width="15" style="50" customWidth="1"/>
    <col min="4" max="4" width="14.44140625" style="50" customWidth="1"/>
    <col min="5" max="5" width="15.109375" style="50" customWidth="1"/>
    <col min="6" max="6" width="15.6640625" style="50" customWidth="1"/>
    <col min="7" max="9" width="15" style="50" customWidth="1"/>
    <col min="10" max="10" width="14.33203125" style="50" bestFit="1" customWidth="1"/>
    <col min="11" max="11" width="15.33203125" style="50" bestFit="1" customWidth="1"/>
    <col min="12" max="16384" width="9.109375" style="50"/>
  </cols>
  <sheetData>
    <row r="1" spans="1:10" ht="15" thickBot="1" x14ac:dyDescent="0.35">
      <c r="A1" s="231" t="s">
        <v>0</v>
      </c>
      <c r="B1" s="231"/>
      <c r="C1" s="62" t="str">
        <f>'[1]Data Entry'!B1</f>
        <v>PY 2011</v>
      </c>
    </row>
    <row r="2" spans="1:10" ht="14.25" customHeight="1" thickBot="1" x14ac:dyDescent="0.35">
      <c r="A2" s="34"/>
      <c r="B2" s="35"/>
      <c r="C2" s="300" t="s">
        <v>45</v>
      </c>
      <c r="D2" s="301"/>
      <c r="E2" s="302"/>
    </row>
    <row r="3" spans="1:10" ht="29.25" customHeight="1" thickBot="1" x14ac:dyDescent="0.35">
      <c r="A3" s="52"/>
      <c r="B3" s="53"/>
      <c r="C3" s="85" t="s">
        <v>46</v>
      </c>
      <c r="D3" s="84" t="s">
        <v>47</v>
      </c>
      <c r="E3" s="98" t="s">
        <v>48</v>
      </c>
    </row>
    <row r="4" spans="1:10" ht="14.25" customHeight="1" x14ac:dyDescent="0.3">
      <c r="A4" s="243" t="s">
        <v>22</v>
      </c>
      <c r="B4" s="244"/>
      <c r="C4" s="96">
        <f>E4-D4</f>
        <v>39753.400438719356</v>
      </c>
      <c r="D4" s="76">
        <f>E4*10%</f>
        <v>4417.0444931910397</v>
      </c>
      <c r="E4" s="94">
        <f>'[1]Adult Allocation by WDA - July'!C38</f>
        <v>44170.444931910395</v>
      </c>
    </row>
    <row r="5" spans="1:10" ht="14.25" customHeight="1" x14ac:dyDescent="0.3">
      <c r="A5" s="251" t="s">
        <v>23</v>
      </c>
      <c r="B5" s="252"/>
      <c r="C5" s="92">
        <f>E5-D5</f>
        <v>74252.883073786637</v>
      </c>
      <c r="D5" s="78">
        <f>E5*10%</f>
        <v>8250.3203415318476</v>
      </c>
      <c r="E5" s="93">
        <f>'[1]Adult Allocation by WDA - July'!C39</f>
        <v>82503.20341531848</v>
      </c>
      <c r="G5"/>
      <c r="H5"/>
      <c r="I5"/>
      <c r="J5"/>
    </row>
    <row r="6" spans="1:10" ht="14.25" customHeight="1" x14ac:dyDescent="0.3">
      <c r="A6" s="251" t="s">
        <v>24</v>
      </c>
      <c r="B6" s="252"/>
      <c r="C6" s="92">
        <f t="shared" ref="C6:C13" si="0">E6-D6</f>
        <v>51585.143855723938</v>
      </c>
      <c r="D6" s="78">
        <f t="shared" ref="D6:D9" si="1">E6*10%</f>
        <v>5731.6826506359939</v>
      </c>
      <c r="E6" s="93">
        <f>'[1]Adult Allocation by WDA - July'!C40</f>
        <v>57316.826506359932</v>
      </c>
      <c r="G6"/>
      <c r="H6"/>
      <c r="I6"/>
      <c r="J6"/>
    </row>
    <row r="7" spans="1:10" ht="14.25" customHeight="1" x14ac:dyDescent="0.3">
      <c r="A7" s="251" t="s">
        <v>25</v>
      </c>
      <c r="B7" s="252"/>
      <c r="C7" s="92">
        <f t="shared" si="0"/>
        <v>94078.348634027963</v>
      </c>
      <c r="D7" s="78">
        <f t="shared" si="1"/>
        <v>10453.14984822533</v>
      </c>
      <c r="E7" s="93">
        <f>'[1]Adult Allocation by WDA - July'!C41</f>
        <v>104531.49848225329</v>
      </c>
      <c r="G7"/>
      <c r="H7"/>
      <c r="I7"/>
      <c r="J7"/>
    </row>
    <row r="8" spans="1:10" ht="14.25" customHeight="1" x14ac:dyDescent="0.3">
      <c r="A8" s="251" t="s">
        <v>26</v>
      </c>
      <c r="B8" s="252"/>
      <c r="C8" s="92">
        <f t="shared" si="0"/>
        <v>242830.17224387685</v>
      </c>
      <c r="D8" s="78">
        <f>E8*10%+0.5</f>
        <v>26981.685804875207</v>
      </c>
      <c r="E8" s="93">
        <f>'[1]Adult Allocation by WDA - July'!C42</f>
        <v>269811.85804875207</v>
      </c>
      <c r="G8"/>
      <c r="H8"/>
      <c r="I8"/>
      <c r="J8"/>
    </row>
    <row r="9" spans="1:10" ht="14.25" customHeight="1" x14ac:dyDescent="0.3">
      <c r="A9" s="251" t="s">
        <v>27</v>
      </c>
      <c r="B9" s="252"/>
      <c r="C9" s="92">
        <f>(E9-D9)-0.04</f>
        <v>109118.90386867082</v>
      </c>
      <c r="D9" s="78">
        <f t="shared" si="1"/>
        <v>12124.32709651898</v>
      </c>
      <c r="E9" s="93">
        <f>'[1]Adult Allocation by WDA - July'!C43</f>
        <v>121243.2709651898</v>
      </c>
    </row>
    <row r="10" spans="1:10" ht="14.25" customHeight="1" x14ac:dyDescent="0.3">
      <c r="A10" s="251" t="s">
        <v>28</v>
      </c>
      <c r="B10" s="252"/>
      <c r="C10" s="92">
        <f>(E10-D10)-0.05</f>
        <v>95204.658169649265</v>
      </c>
      <c r="D10" s="78">
        <f>E10*10%+0.5</f>
        <v>10578.856463294363</v>
      </c>
      <c r="E10" s="93">
        <f>'[1]Adult Allocation by WDA - July'!C44</f>
        <v>105783.56463294363</v>
      </c>
      <c r="F10" s="50" t="s">
        <v>49</v>
      </c>
    </row>
    <row r="11" spans="1:10" ht="14.25" customHeight="1" x14ac:dyDescent="0.3">
      <c r="A11" s="251" t="s">
        <v>29</v>
      </c>
      <c r="B11" s="252"/>
      <c r="C11" s="92">
        <f>E11-D11-0.5</f>
        <v>50673.535262534402</v>
      </c>
      <c r="D11" s="78">
        <f>E11*10%+0.05</f>
        <v>5630.5039180593785</v>
      </c>
      <c r="E11" s="93">
        <f>'[1]Adult Allocation by WDA - July'!C45</f>
        <v>56304.539180593783</v>
      </c>
    </row>
    <row r="12" spans="1:10" ht="14.25" customHeight="1" x14ac:dyDescent="0.3">
      <c r="A12" s="251" t="s">
        <v>30</v>
      </c>
      <c r="B12" s="252"/>
      <c r="C12" s="92">
        <f t="shared" si="0"/>
        <v>69674.79558463204</v>
      </c>
      <c r="D12" s="78">
        <f>(E12*10%)-0.2</f>
        <v>7741.4217316257827</v>
      </c>
      <c r="E12" s="93">
        <f>'[1]Adult Allocation by WDA - July'!C46</f>
        <v>77416.217316257826</v>
      </c>
    </row>
    <row r="13" spans="1:10" ht="14.25" customHeight="1" x14ac:dyDescent="0.3">
      <c r="A13" s="251" t="s">
        <v>31</v>
      </c>
      <c r="B13" s="252"/>
      <c r="C13" s="92">
        <f t="shared" si="0"/>
        <v>33072.886088823485</v>
      </c>
      <c r="D13" s="78">
        <f>(E13*10%)-0.5</f>
        <v>3674.2095654248319</v>
      </c>
      <c r="E13" s="93">
        <f>'[1]Adult Allocation by WDA - July'!C47</f>
        <v>36747.095654248318</v>
      </c>
    </row>
    <row r="14" spans="1:10" ht="14.25" customHeight="1" x14ac:dyDescent="0.3">
      <c r="A14" s="251" t="s">
        <v>32</v>
      </c>
      <c r="B14" s="252"/>
      <c r="C14" s="92">
        <f>E14-D14</f>
        <v>38191.030515126564</v>
      </c>
      <c r="D14" s="78">
        <f>E14*10%+0.05</f>
        <v>4243.5033905696182</v>
      </c>
      <c r="E14" s="93">
        <f>'[1]Adult Allocation by WDA - July'!C48</f>
        <v>42434.533905696182</v>
      </c>
    </row>
    <row r="15" spans="1:10" ht="14.25" customHeight="1" thickBot="1" x14ac:dyDescent="0.35">
      <c r="A15" s="259" t="s">
        <v>33</v>
      </c>
      <c r="B15" s="260"/>
      <c r="C15" s="92">
        <f>E15-D15</f>
        <v>66284.094797088721</v>
      </c>
      <c r="D15" s="78">
        <f>E15*10%+0.4</f>
        <v>7365.3438663431907</v>
      </c>
      <c r="E15" s="97">
        <f>'[1]Adult Allocation by WDA - July'!C49</f>
        <v>73649.438663431909</v>
      </c>
      <c r="G15" s="50" t="s">
        <v>50</v>
      </c>
    </row>
    <row r="16" spans="1:10" ht="14.25" customHeight="1" thickBot="1" x14ac:dyDescent="0.35">
      <c r="A16" s="261" t="s">
        <v>34</v>
      </c>
      <c r="B16" s="262"/>
      <c r="C16" s="57">
        <f>(SUM(C4:C15))</f>
        <v>964719.85253266012</v>
      </c>
      <c r="D16" s="80">
        <f>SUM(D4:D15)</f>
        <v>107192.04917029556</v>
      </c>
      <c r="E16" s="81">
        <f>SUM(E4:E15)</f>
        <v>1071912.4917029554</v>
      </c>
    </row>
    <row r="17" spans="1:9" ht="14.25" customHeight="1" thickBot="1" x14ac:dyDescent="0.35"/>
    <row r="18" spans="1:9" ht="14.25" customHeight="1" thickBot="1" x14ac:dyDescent="0.35">
      <c r="A18" s="34"/>
      <c r="B18" s="35"/>
      <c r="C18" s="300" t="s">
        <v>51</v>
      </c>
      <c r="D18" s="301"/>
      <c r="E18" s="302"/>
      <c r="F18" s="237" t="s">
        <v>18</v>
      </c>
      <c r="G18" s="266"/>
      <c r="H18" s="266"/>
      <c r="I18" s="238"/>
    </row>
    <row r="19" spans="1:9" ht="29.25" customHeight="1" thickBot="1" x14ac:dyDescent="0.35">
      <c r="A19" s="52"/>
      <c r="B19" s="53"/>
      <c r="C19" s="85" t="s">
        <v>46</v>
      </c>
      <c r="D19" s="84" t="s">
        <v>47</v>
      </c>
      <c r="E19" s="98" t="s">
        <v>48</v>
      </c>
      <c r="F19" s="99" t="s">
        <v>53</v>
      </c>
      <c r="G19" s="100" t="s">
        <v>20</v>
      </c>
      <c r="H19" s="100" t="s">
        <v>54</v>
      </c>
      <c r="I19" s="101" t="s">
        <v>20</v>
      </c>
    </row>
    <row r="20" spans="1:9" ht="14.25" customHeight="1" x14ac:dyDescent="0.3">
      <c r="A20" s="243" t="s">
        <v>22</v>
      </c>
      <c r="B20" s="244"/>
      <c r="C20" s="96">
        <f>E20-D20+0.05</f>
        <v>473148.50179554772</v>
      </c>
      <c r="D20" s="76">
        <f>E20*10%</f>
        <v>52572.050199505305</v>
      </c>
      <c r="E20" s="94">
        <f>'[1]Adult Allocation by WDA - Oct'!C38</f>
        <v>525720.50199505303</v>
      </c>
      <c r="F20" s="102">
        <v>429803</v>
      </c>
      <c r="G20" s="214">
        <f>C20-F20</f>
        <v>43345.501795547723</v>
      </c>
      <c r="H20" s="215">
        <v>47756</v>
      </c>
      <c r="I20" s="216">
        <f>D20-H20</f>
        <v>4816.0501995053055</v>
      </c>
    </row>
    <row r="21" spans="1:9" ht="14.25" customHeight="1" x14ac:dyDescent="0.3">
      <c r="A21" s="251" t="s">
        <v>23</v>
      </c>
      <c r="B21" s="252"/>
      <c r="C21" s="92">
        <f>E21-D21-0.2</f>
        <v>883770.4726748073</v>
      </c>
      <c r="D21" s="78">
        <f>E21*10%</f>
        <v>98196.741408311922</v>
      </c>
      <c r="E21" s="93">
        <f>'[1]Adult Allocation by WDA - Oct'!C39</f>
        <v>981967.41408311913</v>
      </c>
      <c r="F21" s="106">
        <v>802808</v>
      </c>
      <c r="G21" s="217">
        <f>C21-F21</f>
        <v>80962.472674807301</v>
      </c>
      <c r="H21" s="108">
        <v>89201</v>
      </c>
      <c r="I21" s="109">
        <f>D21-H21</f>
        <v>8995.741408311922</v>
      </c>
    </row>
    <row r="22" spans="1:9" ht="14.25" customHeight="1" x14ac:dyDescent="0.3">
      <c r="A22" s="251" t="s">
        <v>24</v>
      </c>
      <c r="B22" s="252"/>
      <c r="C22" s="92">
        <f>E22-D22+0.45</f>
        <v>613975.53771262674</v>
      </c>
      <c r="D22" s="78">
        <f t="shared" ref="D22:D27" si="2">E22*10%</f>
        <v>68219.454190291857</v>
      </c>
      <c r="E22" s="93">
        <f>'[1]Adult Allocation by WDA - Oct'!C40</f>
        <v>682194.5419029186</v>
      </c>
      <c r="F22" s="106">
        <v>557729</v>
      </c>
      <c r="G22" s="217">
        <f t="shared" ref="G22:G31" si="3">C22-F22</f>
        <v>56246.537712626741</v>
      </c>
      <c r="H22" s="108">
        <v>61970</v>
      </c>
      <c r="I22" s="109">
        <f t="shared" ref="I22:I31" si="4">D22-H22</f>
        <v>6249.4541902918572</v>
      </c>
    </row>
    <row r="23" spans="1:9" ht="14.25" customHeight="1" x14ac:dyDescent="0.3">
      <c r="A23" s="251" t="s">
        <v>25</v>
      </c>
      <c r="B23" s="252"/>
      <c r="C23" s="92">
        <f>E23-D23</f>
        <v>1119736.2911107978</v>
      </c>
      <c r="D23" s="78">
        <f t="shared" si="2"/>
        <v>124415.14345675532</v>
      </c>
      <c r="E23" s="93">
        <f>'[1]Adult Allocation by WDA - Oct'!C41</f>
        <v>1244151.4345675532</v>
      </c>
      <c r="F23" s="106">
        <v>1017157</v>
      </c>
      <c r="G23" s="217">
        <f t="shared" si="3"/>
        <v>102579.29111079779</v>
      </c>
      <c r="H23" s="108">
        <v>113018</v>
      </c>
      <c r="I23" s="109">
        <f t="shared" si="4"/>
        <v>11397.143456755322</v>
      </c>
    </row>
    <row r="24" spans="1:9" ht="14.25" customHeight="1" x14ac:dyDescent="0.3">
      <c r="A24" s="251" t="s">
        <v>26</v>
      </c>
      <c r="B24" s="252"/>
      <c r="C24" s="92">
        <f>E24-D24-0.15</f>
        <v>2890211.4904289762</v>
      </c>
      <c r="D24" s="78">
        <f t="shared" si="2"/>
        <v>321134.62671433069</v>
      </c>
      <c r="E24" s="93">
        <f>'[1]Adult Allocation by WDA - Oct'!C42</f>
        <v>3211346.2671433068</v>
      </c>
      <c r="F24" s="106">
        <v>2625439</v>
      </c>
      <c r="G24" s="217">
        <f t="shared" si="3"/>
        <v>264772.49042897625</v>
      </c>
      <c r="H24" s="108">
        <v>291715</v>
      </c>
      <c r="I24" s="109">
        <f t="shared" si="4"/>
        <v>29419.62671433069</v>
      </c>
    </row>
    <row r="25" spans="1:9" ht="14.25" customHeight="1" x14ac:dyDescent="0.3">
      <c r="A25" s="251" t="s">
        <v>27</v>
      </c>
      <c r="B25" s="252"/>
      <c r="C25" s="92">
        <f>(E25-D25)-0.04</f>
        <v>1298752.0449274834</v>
      </c>
      <c r="D25" s="78">
        <f t="shared" si="2"/>
        <v>144305.78721416483</v>
      </c>
      <c r="E25" s="93">
        <f>'[1]Adult Allocation by WDA - Oct'!C43</f>
        <v>1443057.8721416483</v>
      </c>
      <c r="F25" s="106">
        <v>1179774</v>
      </c>
      <c r="G25" s="217">
        <f t="shared" si="3"/>
        <v>118978.04492748342</v>
      </c>
      <c r="H25" s="108">
        <v>131086</v>
      </c>
      <c r="I25" s="109">
        <f t="shared" si="4"/>
        <v>13219.787214164826</v>
      </c>
    </row>
    <row r="26" spans="1:9" ht="14.25" customHeight="1" x14ac:dyDescent="0.3">
      <c r="A26" s="251" t="s">
        <v>28</v>
      </c>
      <c r="B26" s="252"/>
      <c r="C26" s="92">
        <f>(E26-D26)-0.05</f>
        <v>1133148.7512173897</v>
      </c>
      <c r="D26" s="78">
        <f t="shared" si="2"/>
        <v>125905.42235748775</v>
      </c>
      <c r="E26" s="93">
        <f>'[1]Adult Allocation by WDA - Oct'!C44</f>
        <v>1259054.2235748775</v>
      </c>
      <c r="F26" s="106">
        <v>1029341</v>
      </c>
      <c r="G26" s="217">
        <f t="shared" si="3"/>
        <v>103807.75121738971</v>
      </c>
      <c r="H26" s="108">
        <v>114371</v>
      </c>
      <c r="I26" s="109">
        <f t="shared" si="4"/>
        <v>11534.422357487754</v>
      </c>
    </row>
    <row r="27" spans="1:9" ht="14.25" customHeight="1" x14ac:dyDescent="0.3">
      <c r="A27" s="251" t="s">
        <v>29</v>
      </c>
      <c r="B27" s="252"/>
      <c r="C27" s="92">
        <f>E27-D27-0.4</f>
        <v>603131.53988299647</v>
      </c>
      <c r="D27" s="78">
        <f t="shared" si="2"/>
        <v>67014.659986999613</v>
      </c>
      <c r="E27" s="93">
        <f>'[1]Adult Allocation by WDA - Oct'!C45</f>
        <v>670146.59986999608</v>
      </c>
      <c r="F27" s="106">
        <v>547879</v>
      </c>
      <c r="G27" s="217">
        <f t="shared" si="3"/>
        <v>55252.539882996469</v>
      </c>
      <c r="H27" s="108">
        <v>60875</v>
      </c>
      <c r="I27" s="109">
        <f t="shared" si="4"/>
        <v>6139.6599869996135</v>
      </c>
    </row>
    <row r="28" spans="1:9" ht="14.25" customHeight="1" x14ac:dyDescent="0.3">
      <c r="A28" s="251" t="s">
        <v>30</v>
      </c>
      <c r="B28" s="252"/>
      <c r="C28" s="92">
        <f>E28-D28-0.35</f>
        <v>829275.45835422759</v>
      </c>
      <c r="D28" s="78">
        <f>(E28*10%)-0.06</f>
        <v>92141.689817136401</v>
      </c>
      <c r="E28" s="93">
        <f>'[1]Adult Allocation by WDA - Oct'!C46</f>
        <v>921417.49817136396</v>
      </c>
      <c r="F28" s="111">
        <v>753305</v>
      </c>
      <c r="G28" s="217">
        <f t="shared" si="3"/>
        <v>75970.458354227594</v>
      </c>
      <c r="H28" s="108">
        <v>83701</v>
      </c>
      <c r="I28" s="109">
        <f t="shared" si="4"/>
        <v>8440.689817136401</v>
      </c>
    </row>
    <row r="29" spans="1:9" ht="14.25" customHeight="1" x14ac:dyDescent="0.3">
      <c r="A29" s="251" t="s">
        <v>31</v>
      </c>
      <c r="B29" s="252"/>
      <c r="C29" s="92">
        <f>E29-D29+0.4</f>
        <v>393637.50608413765</v>
      </c>
      <c r="D29" s="78">
        <f>(E29*10%)-0.03</f>
        <v>43737.422898237521</v>
      </c>
      <c r="E29" s="93">
        <f>'[1]Adult Allocation by WDA - Oct'!C47</f>
        <v>437374.52898237517</v>
      </c>
      <c r="F29" s="106">
        <v>357576</v>
      </c>
      <c r="G29" s="217">
        <f t="shared" si="3"/>
        <v>36061.506084137654</v>
      </c>
      <c r="H29" s="108">
        <v>39731</v>
      </c>
      <c r="I29" s="109">
        <f t="shared" si="4"/>
        <v>4006.4228982375207</v>
      </c>
    </row>
    <row r="30" spans="1:9" ht="14.25" customHeight="1" x14ac:dyDescent="0.3">
      <c r="A30" s="251" t="s">
        <v>32</v>
      </c>
      <c r="B30" s="252"/>
      <c r="C30" s="92">
        <f>E30-D30</f>
        <v>454556.87020039267</v>
      </c>
      <c r="D30" s="78">
        <f>E30*10%</f>
        <v>50506.318911154747</v>
      </c>
      <c r="E30" s="93">
        <f>'[1]Adult Allocation by WDA - Oct'!C48</f>
        <v>505063.18911154743</v>
      </c>
      <c r="F30" s="106">
        <v>412915</v>
      </c>
      <c r="G30" s="217">
        <f t="shared" si="3"/>
        <v>41641.870200392674</v>
      </c>
      <c r="H30" s="108">
        <v>45879</v>
      </c>
      <c r="I30" s="109">
        <f t="shared" si="4"/>
        <v>4627.3189111547472</v>
      </c>
    </row>
    <row r="31" spans="1:9" ht="14.25" customHeight="1" thickBot="1" x14ac:dyDescent="0.35">
      <c r="A31" s="259" t="s">
        <v>33</v>
      </c>
      <c r="B31" s="260"/>
      <c r="C31" s="92">
        <f>E31-D31+0.5</f>
        <v>788929.35861226474</v>
      </c>
      <c r="D31" s="78">
        <f>E31*10%</f>
        <v>87658.76206802942</v>
      </c>
      <c r="E31" s="97">
        <f>'[1]Adult Allocation by WDA - Oct'!C49</f>
        <v>876587.62068029412</v>
      </c>
      <c r="F31" s="154">
        <v>716656</v>
      </c>
      <c r="G31" s="218">
        <f t="shared" si="3"/>
        <v>72273.358612264739</v>
      </c>
      <c r="H31" s="219">
        <v>79628</v>
      </c>
      <c r="I31" s="157">
        <f t="shared" si="4"/>
        <v>8030.7620680294203</v>
      </c>
    </row>
    <row r="32" spans="1:9" ht="14.25" customHeight="1" thickBot="1" x14ac:dyDescent="0.35">
      <c r="A32" s="261" t="s">
        <v>34</v>
      </c>
      <c r="B32" s="262"/>
      <c r="C32" s="57">
        <f>(SUM(C20:C31))</f>
        <v>11482273.823001649</v>
      </c>
      <c r="D32" s="80">
        <f t="shared" ref="D32:I32" si="5">SUM(D20:D31)</f>
        <v>1275808.0792224056</v>
      </c>
      <c r="E32" s="81">
        <f t="shared" si="5"/>
        <v>12758081.692224054</v>
      </c>
      <c r="F32" s="158">
        <f t="shared" si="5"/>
        <v>10430382</v>
      </c>
      <c r="G32" s="81">
        <f t="shared" si="5"/>
        <v>1051891.8230016478</v>
      </c>
      <c r="H32" s="153">
        <f t="shared" si="5"/>
        <v>1158931</v>
      </c>
      <c r="I32" s="159">
        <f t="shared" si="5"/>
        <v>116877.07922240537</v>
      </c>
    </row>
    <row r="33" spans="1:11" ht="14.25" customHeight="1" x14ac:dyDescent="0.3">
      <c r="A33"/>
      <c r="B33"/>
      <c r="C33" s="86"/>
      <c r="D33" s="86"/>
      <c r="E33" s="86"/>
      <c r="I33" s="95"/>
    </row>
    <row r="34" spans="1:11" ht="14.25" customHeight="1" thickBot="1" x14ac:dyDescent="0.35">
      <c r="A34"/>
      <c r="B34"/>
      <c r="C34" s="86"/>
      <c r="D34" s="86"/>
      <c r="E34" s="86"/>
      <c r="I34" s="95"/>
    </row>
    <row r="35" spans="1:11" ht="14.25" customHeight="1" thickBot="1" x14ac:dyDescent="0.35">
      <c r="A35" s="112"/>
      <c r="B35" s="113"/>
      <c r="C35" s="303" t="s">
        <v>52</v>
      </c>
      <c r="D35" s="304"/>
      <c r="E35" s="305"/>
      <c r="F35" s="308"/>
      <c r="G35" s="308"/>
      <c r="H35" s="308"/>
      <c r="I35" s="308"/>
    </row>
    <row r="36" spans="1:11" ht="28.5" customHeight="1" thickBot="1" x14ac:dyDescent="0.35">
      <c r="A36" s="112"/>
      <c r="B36" s="113"/>
      <c r="C36" s="116" t="s">
        <v>46</v>
      </c>
      <c r="D36" s="117" t="s">
        <v>47</v>
      </c>
      <c r="E36" s="118" t="s">
        <v>48</v>
      </c>
      <c r="F36" s="222"/>
      <c r="G36" s="222"/>
      <c r="H36" s="222"/>
      <c r="I36" s="222"/>
    </row>
    <row r="37" spans="1:11" ht="14.25" customHeight="1" x14ac:dyDescent="0.3">
      <c r="A37" s="313" t="s">
        <v>22</v>
      </c>
      <c r="B37" s="314"/>
      <c r="C37" s="96">
        <f>E37-D37</f>
        <v>512901.85223426705</v>
      </c>
      <c r="D37" s="210">
        <f>E37*10%</f>
        <v>56989.094692696344</v>
      </c>
      <c r="E37" s="212">
        <f>SUM(E4+E20)</f>
        <v>569890.9469269634</v>
      </c>
      <c r="F37" s="221"/>
      <c r="G37" s="223"/>
      <c r="H37" s="220"/>
      <c r="I37" s="220"/>
      <c r="J37" s="95"/>
      <c r="K37" s="95"/>
    </row>
    <row r="38" spans="1:11" ht="14.25" customHeight="1" x14ac:dyDescent="0.3">
      <c r="A38" s="309" t="s">
        <v>23</v>
      </c>
      <c r="B38" s="310"/>
      <c r="C38" s="211">
        <f>E38-D38</f>
        <v>958023.55574859388</v>
      </c>
      <c r="D38" s="209">
        <f>E38*10%</f>
        <v>106447.06174984376</v>
      </c>
      <c r="E38" s="213">
        <f t="shared" ref="E38:E48" si="6">SUM(E5+E21)</f>
        <v>1064470.6174984376</v>
      </c>
      <c r="F38" s="221"/>
      <c r="G38" s="223"/>
      <c r="H38" s="220"/>
      <c r="I38" s="220"/>
      <c r="J38" s="95"/>
      <c r="K38" s="95"/>
    </row>
    <row r="39" spans="1:11" ht="14.25" customHeight="1" x14ac:dyDescent="0.3">
      <c r="A39" s="309" t="s">
        <v>24</v>
      </c>
      <c r="B39" s="310"/>
      <c r="C39" s="211">
        <f>E39-D39</f>
        <v>665560.23156835069</v>
      </c>
      <c r="D39" s="209">
        <f t="shared" ref="D39:D44" si="7">E39*10%</f>
        <v>73951.136840927866</v>
      </c>
      <c r="E39" s="213">
        <f t="shared" si="6"/>
        <v>739511.36840927857</v>
      </c>
      <c r="F39" s="221"/>
      <c r="G39" s="223"/>
      <c r="H39" s="220"/>
      <c r="I39" s="220"/>
      <c r="J39" s="95"/>
      <c r="K39" s="95"/>
    </row>
    <row r="40" spans="1:11" ht="14.25" customHeight="1" x14ac:dyDescent="0.3">
      <c r="A40" s="309" t="s">
        <v>25</v>
      </c>
      <c r="B40" s="310"/>
      <c r="C40" s="211">
        <f>E40-D40</f>
        <v>1213814.6397448257</v>
      </c>
      <c r="D40" s="209">
        <f t="shared" si="7"/>
        <v>134868.29330498065</v>
      </c>
      <c r="E40" s="213">
        <f t="shared" si="6"/>
        <v>1348682.9330498064</v>
      </c>
      <c r="F40" s="221"/>
      <c r="G40" s="223"/>
      <c r="H40" s="220"/>
      <c r="I40" s="220"/>
      <c r="J40" s="95"/>
      <c r="K40" s="95"/>
    </row>
    <row r="41" spans="1:11" ht="14.25" customHeight="1" x14ac:dyDescent="0.3">
      <c r="A41" s="309" t="s">
        <v>26</v>
      </c>
      <c r="B41" s="310"/>
      <c r="C41" s="211">
        <f>E41-D41</f>
        <v>3133042.312672853</v>
      </c>
      <c r="D41" s="209">
        <f t="shared" si="7"/>
        <v>348115.81251920591</v>
      </c>
      <c r="E41" s="213">
        <f t="shared" si="6"/>
        <v>3481158.1251920587</v>
      </c>
      <c r="F41" s="221"/>
      <c r="G41" s="223"/>
      <c r="H41" s="220"/>
      <c r="I41" s="220"/>
      <c r="J41" s="95"/>
      <c r="K41" s="95"/>
    </row>
    <row r="42" spans="1:11" ht="14.25" customHeight="1" x14ac:dyDescent="0.3">
      <c r="A42" s="309" t="s">
        <v>27</v>
      </c>
      <c r="B42" s="310"/>
      <c r="C42" s="211">
        <f>(E42-D42)-0.04</f>
        <v>1407870.9887961543</v>
      </c>
      <c r="D42" s="209">
        <f t="shared" si="7"/>
        <v>156430.11431068383</v>
      </c>
      <c r="E42" s="213">
        <f t="shared" si="6"/>
        <v>1564301.1431068382</v>
      </c>
      <c r="F42" s="221"/>
      <c r="G42" s="223"/>
      <c r="H42" s="220"/>
      <c r="I42" s="220"/>
      <c r="J42" s="95"/>
      <c r="K42" s="95"/>
    </row>
    <row r="43" spans="1:11" ht="14.25" customHeight="1" x14ac:dyDescent="0.3">
      <c r="A43" s="309" t="s">
        <v>28</v>
      </c>
      <c r="B43" s="310"/>
      <c r="C43" s="211">
        <f>(E43-D43)-0.05</f>
        <v>1228353.9593870388</v>
      </c>
      <c r="D43" s="209">
        <f t="shared" si="7"/>
        <v>136483.77882078211</v>
      </c>
      <c r="E43" s="213">
        <f t="shared" si="6"/>
        <v>1364837.7882078211</v>
      </c>
      <c r="F43" s="221"/>
      <c r="G43" s="223"/>
      <c r="H43" s="220"/>
      <c r="I43" s="220"/>
      <c r="J43" s="95"/>
      <c r="K43" s="95"/>
    </row>
    <row r="44" spans="1:11" ht="14.25" customHeight="1" x14ac:dyDescent="0.3">
      <c r="A44" s="309" t="s">
        <v>29</v>
      </c>
      <c r="B44" s="310"/>
      <c r="C44" s="211">
        <f>E44-D44</f>
        <v>653806.02514553093</v>
      </c>
      <c r="D44" s="209">
        <f t="shared" si="7"/>
        <v>72645.113905058985</v>
      </c>
      <c r="E44" s="213">
        <f t="shared" si="6"/>
        <v>726451.13905058987</v>
      </c>
      <c r="F44" s="221"/>
      <c r="G44" s="223"/>
      <c r="H44" s="220"/>
      <c r="I44" s="220"/>
      <c r="J44" s="95"/>
      <c r="K44" s="95"/>
    </row>
    <row r="45" spans="1:11" ht="14.25" customHeight="1" x14ac:dyDescent="0.3">
      <c r="A45" s="309" t="s">
        <v>30</v>
      </c>
      <c r="B45" s="310"/>
      <c r="C45" s="211">
        <f>E45-D45</f>
        <v>898950.19393885951</v>
      </c>
      <c r="D45" s="209">
        <f>(E45*10%)+0.15</f>
        <v>99883.521548762175</v>
      </c>
      <c r="E45" s="213">
        <f t="shared" si="6"/>
        <v>998833.71548762172</v>
      </c>
      <c r="F45" s="221"/>
      <c r="G45" s="223"/>
      <c r="H45" s="220"/>
      <c r="I45" s="220"/>
      <c r="J45" s="95"/>
      <c r="K45" s="95"/>
    </row>
    <row r="46" spans="1:11" ht="14.25" customHeight="1" x14ac:dyDescent="0.3">
      <c r="A46" s="309" t="s">
        <v>31</v>
      </c>
      <c r="B46" s="310"/>
      <c r="C46" s="211">
        <f>E46-D46</f>
        <v>426709.35717296111</v>
      </c>
      <c r="D46" s="209">
        <f>(E46*10%)-0.03</f>
        <v>47412.117463662347</v>
      </c>
      <c r="E46" s="213">
        <f>SUM(E13+E29)-0.15</f>
        <v>474121.47463662346</v>
      </c>
      <c r="F46" s="221"/>
      <c r="G46" s="223"/>
      <c r="H46" s="220"/>
      <c r="I46" s="220"/>
      <c r="J46" s="95"/>
      <c r="K46" s="95"/>
    </row>
    <row r="47" spans="1:11" ht="14.25" customHeight="1" x14ac:dyDescent="0.3">
      <c r="A47" s="309" t="s">
        <v>32</v>
      </c>
      <c r="B47" s="310"/>
      <c r="C47" s="211">
        <f>E47-D47</f>
        <v>492747.95071551931</v>
      </c>
      <c r="D47" s="209">
        <f>E47*10%</f>
        <v>54749.77230172437</v>
      </c>
      <c r="E47" s="213">
        <f t="shared" si="6"/>
        <v>547497.72301724367</v>
      </c>
      <c r="F47" s="221"/>
      <c r="G47" s="223"/>
      <c r="H47" s="220"/>
      <c r="I47" s="220"/>
      <c r="J47" s="95"/>
      <c r="K47" s="95"/>
    </row>
    <row r="48" spans="1:11" ht="14.25" customHeight="1" thickBot="1" x14ac:dyDescent="0.35">
      <c r="A48" s="311" t="s">
        <v>33</v>
      </c>
      <c r="B48" s="312"/>
      <c r="C48" s="211">
        <f>E48-D48</f>
        <v>855212.95340935339</v>
      </c>
      <c r="D48" s="209">
        <f>E48*10%+0.4</f>
        <v>95024.105934372608</v>
      </c>
      <c r="E48" s="97">
        <f t="shared" si="6"/>
        <v>950237.05934372602</v>
      </c>
      <c r="F48" s="221"/>
      <c r="G48" s="223"/>
      <c r="H48" s="220"/>
      <c r="I48" s="220"/>
      <c r="J48" s="95"/>
      <c r="K48" s="95"/>
    </row>
    <row r="49" spans="1:11" ht="14.25" customHeight="1" thickBot="1" x14ac:dyDescent="0.35">
      <c r="A49" s="306" t="s">
        <v>34</v>
      </c>
      <c r="B49" s="307"/>
      <c r="C49" s="57">
        <f>(SUM(C37:C48))</f>
        <v>12446994.020534307</v>
      </c>
      <c r="D49" s="80">
        <f t="shared" ref="D49:E49" si="8">SUM(D37:D48)</f>
        <v>1382999.923392701</v>
      </c>
      <c r="E49" s="81">
        <f t="shared" si="8"/>
        <v>13829994.033927009</v>
      </c>
      <c r="F49" s="224"/>
      <c r="G49" s="225"/>
      <c r="H49" s="226"/>
      <c r="I49" s="226"/>
      <c r="J49" s="95"/>
      <c r="K49" s="95"/>
    </row>
  </sheetData>
  <mergeCells count="45">
    <mergeCell ref="A49:B49"/>
    <mergeCell ref="F18:I18"/>
    <mergeCell ref="F35:I35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28:B28"/>
    <mergeCell ref="A29:B29"/>
    <mergeCell ref="A30:B30"/>
    <mergeCell ref="A31:B31"/>
    <mergeCell ref="A32:B32"/>
    <mergeCell ref="C35:E35"/>
    <mergeCell ref="A27:B27"/>
    <mergeCell ref="A14:B14"/>
    <mergeCell ref="A15:B15"/>
    <mergeCell ref="A16:B16"/>
    <mergeCell ref="C18:E18"/>
    <mergeCell ref="A20:B20"/>
    <mergeCell ref="A21:B21"/>
    <mergeCell ref="A22:B22"/>
    <mergeCell ref="A23:B23"/>
    <mergeCell ref="A24:B24"/>
    <mergeCell ref="A25:B25"/>
    <mergeCell ref="A26:B26"/>
    <mergeCell ref="A13:B13"/>
    <mergeCell ref="A1:B1"/>
    <mergeCell ref="C2:E2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 verticalCentered="1"/>
  <pageMargins left="0" right="0" top="0.75" bottom="0" header="0.3" footer="0.3"/>
  <pageSetup scale="75" orientation="landscape" horizontalDpi="300" verticalDpi="300" r:id="rId1"/>
  <headerFooter>
    <oddHeader>&amp;C&amp;"-,Bold"&amp;12
WIA Adult Local Allocation Summary</oddHeader>
  </headerFooter>
  <ignoredErrors>
    <ignoredError sqref="D8 E46:E4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51"/>
  <sheetViews>
    <sheetView view="pageLayout" topLeftCell="A22" zoomScaleNormal="100" workbookViewId="0">
      <selection activeCell="F16" sqref="F16"/>
    </sheetView>
  </sheetViews>
  <sheetFormatPr defaultColWidth="9.109375" defaultRowHeight="14.4" x14ac:dyDescent="0.3"/>
  <cols>
    <col min="1" max="1" width="18.33203125" style="50" customWidth="1"/>
    <col min="2" max="3" width="13" style="50" customWidth="1"/>
    <col min="4" max="4" width="16.6640625" style="50" bestFit="1" customWidth="1"/>
    <col min="5" max="5" width="14.44140625" style="50" customWidth="1"/>
    <col min="6" max="6" width="13.5546875" style="50" customWidth="1"/>
    <col min="7" max="16384" width="9.109375" style="50"/>
  </cols>
  <sheetData>
    <row r="1" spans="1:6" ht="15" thickBot="1" x14ac:dyDescent="0.35">
      <c r="A1" s="119" t="s">
        <v>0</v>
      </c>
      <c r="B1" s="62" t="str">
        <f>'[1]Data Entry'!B1</f>
        <v>PY 2011</v>
      </c>
    </row>
    <row r="2" spans="1:6" ht="14.25" customHeight="1" x14ac:dyDescent="0.3">
      <c r="A2" s="120"/>
      <c r="B2" s="315" t="s">
        <v>55</v>
      </c>
      <c r="C2" s="316" t="s">
        <v>56</v>
      </c>
      <c r="D2" s="318" t="s">
        <v>57</v>
      </c>
      <c r="E2" s="319" t="s">
        <v>93</v>
      </c>
      <c r="F2" s="321" t="s">
        <v>94</v>
      </c>
    </row>
    <row r="3" spans="1:6" ht="14.25" customHeight="1" thickBot="1" x14ac:dyDescent="0.35">
      <c r="A3" s="121"/>
      <c r="B3" s="276"/>
      <c r="C3" s="317"/>
      <c r="D3" s="278"/>
      <c r="E3" s="320"/>
      <c r="F3" s="322"/>
    </row>
    <row r="4" spans="1:6" ht="14.25" customHeight="1" x14ac:dyDescent="0.3">
      <c r="A4" s="122" t="s">
        <v>22</v>
      </c>
      <c r="B4" s="137">
        <f>SUM('[1]Data Entry'!C157,'[1]Data Entry'!E157,'[1]Data Entry'!G157)/3</f>
        <v>4.3340801696920672E-2</v>
      </c>
      <c r="C4" s="138">
        <f>B4/(SUM($B$5:$B$7))</f>
        <v>1</v>
      </c>
      <c r="D4" s="139">
        <f>'[1]Adult Allocation Summary'!E36</f>
        <v>569890.9469269634</v>
      </c>
      <c r="E4" s="148">
        <v>521729</v>
      </c>
      <c r="F4" s="152">
        <f>D4-E4</f>
        <v>48161.946926963399</v>
      </c>
    </row>
    <row r="5" spans="1:6" ht="14.25" customHeight="1" x14ac:dyDescent="0.3">
      <c r="A5" s="123" t="s">
        <v>58</v>
      </c>
      <c r="B5" s="132">
        <f>SUM('[1]Data Entry'!C158,'[1]Data Entry'!E158,'[1]Data Entry'!G158)/3</f>
        <v>1.0527115777987567E-2</v>
      </c>
      <c r="C5" s="133">
        <f>B5/(SUM($B$5:$B$7))</f>
        <v>0.24289157943138623</v>
      </c>
      <c r="D5" s="93">
        <f>$D$4*C5</f>
        <v>138421.71220273845</v>
      </c>
      <c r="E5" s="149">
        <v>126724</v>
      </c>
      <c r="F5" s="79">
        <f>D5-E5</f>
        <v>11697.712202738447</v>
      </c>
    </row>
    <row r="6" spans="1:6" ht="14.25" customHeight="1" x14ac:dyDescent="0.3">
      <c r="A6" s="123" t="s">
        <v>59</v>
      </c>
      <c r="B6" s="132">
        <f>SUM('[1]Data Entry'!C159,'[1]Data Entry'!E159,'[1]Data Entry'!G159)/3</f>
        <v>4.1445237780640765E-3</v>
      </c>
      <c r="C6" s="133">
        <f>B6/(SUM($B$5:$B$7))</f>
        <v>9.5626375512074147E-2</v>
      </c>
      <c r="D6" s="93">
        <f>$D$4*C6-0.15</f>
        <v>54496.455691769319</v>
      </c>
      <c r="E6" s="149">
        <v>49891</v>
      </c>
      <c r="F6" s="79">
        <f t="shared" ref="F6:F50" si="0">D6-E6</f>
        <v>4605.4556917693189</v>
      </c>
    </row>
    <row r="7" spans="1:6" ht="14.25" customHeight="1" x14ac:dyDescent="0.3">
      <c r="A7" s="123" t="s">
        <v>60</v>
      </c>
      <c r="B7" s="132">
        <f>SUM('[1]Data Entry'!C160,'[1]Data Entry'!E160,'[1]Data Entry'!G160)/3</f>
        <v>2.8669162140869026E-2</v>
      </c>
      <c r="C7" s="133">
        <f>B7/(SUM($B$5:$B$7))</f>
        <v>0.66148204505653951</v>
      </c>
      <c r="D7" s="93">
        <f>$D$4*C7</f>
        <v>376972.62903245556</v>
      </c>
      <c r="E7" s="149">
        <v>345114</v>
      </c>
      <c r="F7" s="79">
        <f t="shared" si="0"/>
        <v>31858.629032455559</v>
      </c>
    </row>
    <row r="8" spans="1:6" ht="14.25" customHeight="1" x14ac:dyDescent="0.3">
      <c r="A8" s="124" t="s">
        <v>23</v>
      </c>
      <c r="B8" s="140">
        <f>SUM('[1]Data Entry'!C161,'[1]Data Entry'!E161,'[1]Data Entry'!G161)/3</f>
        <v>7.3280894736616295E-2</v>
      </c>
      <c r="C8" s="141">
        <f t="shared" ref="C8:C13" si="1">B8/(SUM($B$9:$B$13))</f>
        <v>1.0000000000000002</v>
      </c>
      <c r="D8" s="142">
        <f>'[1]Adult Allocation Summary'!E37</f>
        <v>1064470.6174984376</v>
      </c>
      <c r="E8" s="150">
        <v>974512</v>
      </c>
      <c r="F8" s="125">
        <f t="shared" si="0"/>
        <v>89958.617498437641</v>
      </c>
    </row>
    <row r="9" spans="1:6" ht="14.25" customHeight="1" x14ac:dyDescent="0.3">
      <c r="A9" s="126" t="s">
        <v>61</v>
      </c>
      <c r="B9" s="132">
        <f>SUM('[1]Data Entry'!C162,'[1]Data Entry'!E162,'[1]Data Entry'!G162)/3</f>
        <v>1.4684222748676631E-2</v>
      </c>
      <c r="C9" s="133">
        <f t="shared" si="1"/>
        <v>0.20038268912319054</v>
      </c>
      <c r="D9" s="93">
        <f>$D$8*C9</f>
        <v>213301.48482696011</v>
      </c>
      <c r="E9" s="149">
        <v>195275</v>
      </c>
      <c r="F9" s="79">
        <f t="shared" si="0"/>
        <v>18026.484826960106</v>
      </c>
    </row>
    <row r="10" spans="1:6" ht="14.25" customHeight="1" x14ac:dyDescent="0.3">
      <c r="A10" s="126" t="s">
        <v>62</v>
      </c>
      <c r="B10" s="132">
        <f>SUM('[1]Data Entry'!C163,'[1]Data Entry'!E163,'[1]Data Entry'!G163)/3</f>
        <v>1.4219331655367958E-2</v>
      </c>
      <c r="C10" s="133">
        <f t="shared" si="1"/>
        <v>0.19403872873652267</v>
      </c>
      <c r="D10" s="93">
        <f>$D$8*C10</f>
        <v>206548.52539677813</v>
      </c>
      <c r="E10" s="149">
        <v>189093</v>
      </c>
      <c r="F10" s="79">
        <f t="shared" si="0"/>
        <v>17455.525396778132</v>
      </c>
    </row>
    <row r="11" spans="1:6" ht="14.25" customHeight="1" x14ac:dyDescent="0.3">
      <c r="A11" s="126" t="s">
        <v>63</v>
      </c>
      <c r="B11" s="132">
        <f>SUM('[1]Data Entry'!C164,'[1]Data Entry'!E164,'[1]Data Entry'!G164)/3</f>
        <v>9.8759716880328866E-3</v>
      </c>
      <c r="C11" s="133">
        <f t="shared" si="1"/>
        <v>0.13476871050126735</v>
      </c>
      <c r="D11" s="93">
        <f>$D$8*C11</f>
        <v>143457.33248675222</v>
      </c>
      <c r="E11" s="149">
        <v>131334</v>
      </c>
      <c r="F11" s="79">
        <f t="shared" si="0"/>
        <v>12123.332486752217</v>
      </c>
    </row>
    <row r="12" spans="1:6" ht="14.25" customHeight="1" x14ac:dyDescent="0.3">
      <c r="A12" s="126" t="s">
        <v>64</v>
      </c>
      <c r="B12" s="132">
        <f>SUM('[1]Data Entry'!C165,'[1]Data Entry'!E165,'[1]Data Entry'!G165)/3</f>
        <v>4.365010062754855E-3</v>
      </c>
      <c r="C12" s="133">
        <f t="shared" si="1"/>
        <v>5.9565458069847907E-2</v>
      </c>
      <c r="D12" s="93">
        <f>$D$8*C12</f>
        <v>63405.679933188294</v>
      </c>
      <c r="E12" s="149">
        <v>58047</v>
      </c>
      <c r="F12" s="79">
        <f t="shared" si="0"/>
        <v>5358.6799331882939</v>
      </c>
    </row>
    <row r="13" spans="1:6" ht="14.25" customHeight="1" x14ac:dyDescent="0.3">
      <c r="A13" s="126" t="s">
        <v>65</v>
      </c>
      <c r="B13" s="132">
        <f>SUM('[1]Data Entry'!C166,'[1]Data Entry'!E166,'[1]Data Entry'!G166)/3</f>
        <v>3.0136358581783956E-2</v>
      </c>
      <c r="C13" s="133">
        <f t="shared" si="1"/>
        <v>0.41124441356917157</v>
      </c>
      <c r="D13" s="93">
        <f>$D$8*C13</f>
        <v>437757.59485475894</v>
      </c>
      <c r="E13" s="149">
        <v>400763</v>
      </c>
      <c r="F13" s="79">
        <f t="shared" si="0"/>
        <v>36994.594854758936</v>
      </c>
    </row>
    <row r="14" spans="1:6" ht="14.25" customHeight="1" x14ac:dyDescent="0.3">
      <c r="A14" s="124" t="s">
        <v>24</v>
      </c>
      <c r="B14" s="140">
        <f>SUM('[1]Data Entry'!C167,'[1]Data Entry'!E167,'[1]Data Entry'!G167)/3</f>
        <v>5.6501956251017636E-2</v>
      </c>
      <c r="C14" s="141">
        <f>B14/(SUM($B$15:$B$18))</f>
        <v>1.0000000000000002</v>
      </c>
      <c r="D14" s="142">
        <f>'[1]Adult Allocation Summary'!E38</f>
        <v>739511.36840927857</v>
      </c>
      <c r="E14" s="150">
        <v>677016</v>
      </c>
      <c r="F14" s="125">
        <f t="shared" si="0"/>
        <v>62495.36840927857</v>
      </c>
    </row>
    <row r="15" spans="1:6" ht="14.25" customHeight="1" x14ac:dyDescent="0.3">
      <c r="A15" s="126" t="s">
        <v>66</v>
      </c>
      <c r="B15" s="132">
        <f>SUM('[1]Data Entry'!C168,'[1]Data Entry'!E168,'[1]Data Entry'!G168)/3</f>
        <v>8.738006168316036E-3</v>
      </c>
      <c r="C15" s="133">
        <f>B15/(SUM($B$15:$B$18))</f>
        <v>0.15464962185550274</v>
      </c>
      <c r="D15" s="93">
        <f>$D$14*C15</f>
        <v>114365.15348234031</v>
      </c>
      <c r="E15" s="149">
        <v>104700</v>
      </c>
      <c r="F15" s="79">
        <f t="shared" si="0"/>
        <v>9665.1534823403053</v>
      </c>
    </row>
    <row r="16" spans="1:6" ht="14.25" customHeight="1" x14ac:dyDescent="0.3">
      <c r="A16" s="126" t="s">
        <v>67</v>
      </c>
      <c r="B16" s="132">
        <f>SUM('[1]Data Entry'!C169,'[1]Data Entry'!E169,'[1]Data Entry'!G169)/3</f>
        <v>1.7527244032616036E-3</v>
      </c>
      <c r="C16" s="133">
        <f>B16/(SUM($B$15:$B$18))</f>
        <v>3.1020596799779584E-2</v>
      </c>
      <c r="D16" s="93">
        <f>$D$14*C16</f>
        <v>22940.083988277489</v>
      </c>
      <c r="E16" s="149">
        <v>21001</v>
      </c>
      <c r="F16" s="79">
        <f t="shared" si="0"/>
        <v>1939.083988277489</v>
      </c>
    </row>
    <row r="17" spans="1:6" ht="14.25" customHeight="1" x14ac:dyDescent="0.3">
      <c r="A17" s="126" t="s">
        <v>68</v>
      </c>
      <c r="B17" s="132">
        <f>SUM('[1]Data Entry'!C170,'[1]Data Entry'!E170,'[1]Data Entry'!G170)/3</f>
        <v>1.8155312456714989E-2</v>
      </c>
      <c r="C17" s="133">
        <f>B17/(SUM($B$15:$B$18))</f>
        <v>0.32132183841666545</v>
      </c>
      <c r="D17" s="93">
        <f>$D$14*C17</f>
        <v>237621.15242729336</v>
      </c>
      <c r="E17" s="149">
        <v>217540</v>
      </c>
      <c r="F17" s="79">
        <f t="shared" si="0"/>
        <v>20081.15242729336</v>
      </c>
    </row>
    <row r="18" spans="1:6" ht="14.25" customHeight="1" x14ac:dyDescent="0.3">
      <c r="A18" s="126" t="s">
        <v>69</v>
      </c>
      <c r="B18" s="132">
        <f>SUM('[1]Data Entry'!C171,'[1]Data Entry'!E171,'[1]Data Entry'!G171)/3</f>
        <v>2.7855913222725005E-2</v>
      </c>
      <c r="C18" s="133">
        <f>B18/(SUM($B$15:$B$18))</f>
        <v>0.49300794292805228</v>
      </c>
      <c r="D18" s="93">
        <f>$D$14*C18</f>
        <v>364584.97851136746</v>
      </c>
      <c r="E18" s="149">
        <v>333775</v>
      </c>
      <c r="F18" s="79">
        <f t="shared" si="0"/>
        <v>30809.978511367459</v>
      </c>
    </row>
    <row r="19" spans="1:6" ht="14.25" customHeight="1" x14ac:dyDescent="0.3">
      <c r="A19" s="124" t="s">
        <v>25</v>
      </c>
      <c r="B19" s="140">
        <f>SUM('[1]Data Entry'!C172,'[1]Data Entry'!E172,'[1]Data Entry'!G172)/3</f>
        <v>0.10296969150609447</v>
      </c>
      <c r="C19" s="143">
        <f>B19/B19</f>
        <v>1</v>
      </c>
      <c r="D19" s="142">
        <f>'[1]Adult Allocation Summary'!E39</f>
        <v>1348682.9330498064</v>
      </c>
      <c r="E19" s="150">
        <v>1234706</v>
      </c>
      <c r="F19" s="125">
        <f t="shared" si="0"/>
        <v>113976.93304980639</v>
      </c>
    </row>
    <row r="20" spans="1:6" ht="14.25" customHeight="1" x14ac:dyDescent="0.3">
      <c r="A20" s="124" t="s">
        <v>26</v>
      </c>
      <c r="B20" s="140">
        <f>SUM('[1]Data Entry'!C173,'[1]Data Entry'!E173,'[1]Data Entry'!G173)/3</f>
        <v>0.265912962182631</v>
      </c>
      <c r="C20" s="143">
        <f>B20/B20</f>
        <v>1</v>
      </c>
      <c r="D20" s="142">
        <f>'[1]Adult Allocation Summary'!E40</f>
        <v>3481158.1251920587</v>
      </c>
      <c r="E20" s="150">
        <v>3186966</v>
      </c>
      <c r="F20" s="125">
        <f t="shared" si="0"/>
        <v>294192.12519205874</v>
      </c>
    </row>
    <row r="21" spans="1:6" ht="14.25" customHeight="1" x14ac:dyDescent="0.3">
      <c r="A21" s="124" t="s">
        <v>27</v>
      </c>
      <c r="B21" s="140">
        <f>SUM('[1]Data Entry'!C174,'[1]Data Entry'!E174,'[1]Data Entry'!G174)/3</f>
        <v>0.11952099527045808</v>
      </c>
      <c r="C21" s="143">
        <f>B21/B21</f>
        <v>1</v>
      </c>
      <c r="D21" s="142">
        <f>'[1]Adult Allocation Summary'!E41</f>
        <v>1564301.1431068382</v>
      </c>
      <c r="E21" s="150">
        <v>1432103</v>
      </c>
      <c r="F21" s="125">
        <f t="shared" si="0"/>
        <v>132198.14310683822</v>
      </c>
    </row>
    <row r="22" spans="1:6" ht="14.25" customHeight="1" x14ac:dyDescent="0.3">
      <c r="A22" s="124" t="s">
        <v>28</v>
      </c>
      <c r="B22" s="140">
        <f>SUM('[1]Data Entry'!C175,'[1]Data Entry'!E175,'[1]Data Entry'!G175)/3</f>
        <v>0.10310689518807588</v>
      </c>
      <c r="C22" s="144">
        <f>B22/(SUM($B$23:$B$25))</f>
        <v>1</v>
      </c>
      <c r="D22" s="142">
        <f>'[1]Adult Allocation Summary'!E42</f>
        <v>1364837.7882078211</v>
      </c>
      <c r="E22" s="150">
        <v>1249496</v>
      </c>
      <c r="F22" s="125">
        <f t="shared" si="0"/>
        <v>115341.78820782108</v>
      </c>
    </row>
    <row r="23" spans="1:6" ht="14.25" customHeight="1" x14ac:dyDescent="0.3">
      <c r="A23" s="127" t="s">
        <v>70</v>
      </c>
      <c r="B23" s="132">
        <f>SUM('[1]Data Entry'!C176,'[1]Data Entry'!E176,'[1]Data Entry'!G176)/3</f>
        <v>8.3440429904224359E-2</v>
      </c>
      <c r="C23" s="133">
        <f>B23/(SUM($B$23:$B$25))</f>
        <v>0.80926139568087863</v>
      </c>
      <c r="D23" s="93">
        <f>$D$22*C23</f>
        <v>1104510.5333630648</v>
      </c>
      <c r="E23" s="149">
        <v>1011169</v>
      </c>
      <c r="F23" s="79">
        <f t="shared" si="0"/>
        <v>93341.533363064751</v>
      </c>
    </row>
    <row r="24" spans="1:6" ht="14.25" customHeight="1" x14ac:dyDescent="0.3">
      <c r="A24" s="127" t="s">
        <v>71</v>
      </c>
      <c r="B24" s="132">
        <f>SUM('[1]Data Entry'!C177,'[1]Data Entry'!E177,'[1]Data Entry'!G177)/3</f>
        <v>1.9001780488093246E-2</v>
      </c>
      <c r="C24" s="133">
        <f>B24/(SUM($B$23:$B$25))</f>
        <v>0.18429204422684203</v>
      </c>
      <c r="D24" s="93">
        <f>$D$22*C24</f>
        <v>251528.74602686102</v>
      </c>
      <c r="E24" s="149">
        <v>230272</v>
      </c>
      <c r="F24" s="79">
        <f t="shared" si="0"/>
        <v>21256.746026861016</v>
      </c>
    </row>
    <row r="25" spans="1:6" ht="14.25" customHeight="1" x14ac:dyDescent="0.3">
      <c r="A25" s="127" t="s">
        <v>72</v>
      </c>
      <c r="B25" s="132">
        <f>SUM('[1]Data Entry'!C178,'[1]Data Entry'!E178,'[1]Data Entry'!G178)/3</f>
        <v>6.6468479575827527E-4</v>
      </c>
      <c r="C25" s="133">
        <f>B25/(SUM($B$23:$B$25))</f>
        <v>6.4465600922793071E-3</v>
      </c>
      <c r="D25" s="93">
        <f>$D$22*C25-0.05</f>
        <v>8798.4588178952963</v>
      </c>
      <c r="E25" s="149">
        <v>8055</v>
      </c>
      <c r="F25" s="79">
        <f t="shared" si="0"/>
        <v>743.45881789529631</v>
      </c>
    </row>
    <row r="26" spans="1:6" ht="14.25" customHeight="1" x14ac:dyDescent="0.3">
      <c r="A26" s="124" t="s">
        <v>29</v>
      </c>
      <c r="B26" s="140">
        <f>SUM('[1]Data Entry'!C179,'[1]Data Entry'!E179,'[1]Data Entry'!G179)/3</f>
        <v>4.3659805593818581E-2</v>
      </c>
      <c r="C26" s="141">
        <f t="shared" ref="C26:C31" si="2">B26/(SUM($B$27:$B$31))</f>
        <v>1</v>
      </c>
      <c r="D26" s="142">
        <f>'[1]Adult Allocation Summary'!E43</f>
        <v>726451.13905058987</v>
      </c>
      <c r="E26" s="150">
        <v>665059</v>
      </c>
      <c r="F26" s="125">
        <f t="shared" si="0"/>
        <v>61392.139050589874</v>
      </c>
    </row>
    <row r="27" spans="1:6" ht="14.25" customHeight="1" x14ac:dyDescent="0.3">
      <c r="A27" s="127" t="s">
        <v>73</v>
      </c>
      <c r="B27" s="132">
        <f>SUM('[1]Data Entry'!C180,'[1]Data Entry'!E180,'[1]Data Entry'!G180)/3</f>
        <v>2.9530394187870161E-3</v>
      </c>
      <c r="C27" s="133">
        <f t="shared" si="2"/>
        <v>6.7637484377738769E-2</v>
      </c>
      <c r="D27" s="93">
        <f>$D$26*C27</f>
        <v>49135.32756872481</v>
      </c>
      <c r="E27" s="149">
        <v>44983</v>
      </c>
      <c r="F27" s="79">
        <f t="shared" si="0"/>
        <v>4152.3275687248097</v>
      </c>
    </row>
    <row r="28" spans="1:6" ht="14.25" customHeight="1" x14ac:dyDescent="0.3">
      <c r="A28" s="127" t="s">
        <v>74</v>
      </c>
      <c r="B28" s="132">
        <f>SUM('[1]Data Entry'!C181,'[1]Data Entry'!E181,'[1]Data Entry'!G181)/3</f>
        <v>1.1038160841138471E-2</v>
      </c>
      <c r="C28" s="133">
        <f t="shared" si="2"/>
        <v>0.25282203369914386</v>
      </c>
      <c r="D28" s="93">
        <f>$D$26*C28</f>
        <v>183662.85435782967</v>
      </c>
      <c r="E28" s="149">
        <v>168142</v>
      </c>
      <c r="F28" s="79">
        <f t="shared" si="0"/>
        <v>15520.854357829667</v>
      </c>
    </row>
    <row r="29" spans="1:6" ht="14.25" customHeight="1" x14ac:dyDescent="0.3">
      <c r="A29" s="127" t="s">
        <v>75</v>
      </c>
      <c r="B29" s="132">
        <f>SUM('[1]Data Entry'!C182,'[1]Data Entry'!E182,'[1]Data Entry'!G182)/3</f>
        <v>5.4196603463854106E-3</v>
      </c>
      <c r="C29" s="133">
        <f t="shared" si="2"/>
        <v>0.12413386346256966</v>
      </c>
      <c r="D29" s="93">
        <f>$D$26*C29</f>
        <v>90177.186507134131</v>
      </c>
      <c r="E29" s="149">
        <v>82556</v>
      </c>
      <c r="F29" s="79">
        <f t="shared" si="0"/>
        <v>7621.1865071341308</v>
      </c>
    </row>
    <row r="30" spans="1:6" ht="14.25" customHeight="1" x14ac:dyDescent="0.3">
      <c r="A30" s="127" t="s">
        <v>76</v>
      </c>
      <c r="B30" s="132">
        <f>SUM('[1]Data Entry'!C183,'[1]Data Entry'!E183,'[1]Data Entry'!G183)/3</f>
        <v>1.5261016079899353E-2</v>
      </c>
      <c r="C30" s="133">
        <f t="shared" si="2"/>
        <v>0.34954383951860818</v>
      </c>
      <c r="D30" s="93">
        <f>$D$26*C30</f>
        <v>253926.5203664095</v>
      </c>
      <c r="E30" s="149">
        <v>232467</v>
      </c>
      <c r="F30" s="79">
        <f t="shared" si="0"/>
        <v>21459.520366409502</v>
      </c>
    </row>
    <row r="31" spans="1:6" ht="14.25" customHeight="1" x14ac:dyDescent="0.3">
      <c r="A31" s="127" t="s">
        <v>77</v>
      </c>
      <c r="B31" s="132">
        <f>SUM('[1]Data Entry'!C184,'[1]Data Entry'!E184,'[1]Data Entry'!G184)/3</f>
        <v>8.9879289076083262E-3</v>
      </c>
      <c r="C31" s="133">
        <f t="shared" si="2"/>
        <v>0.20586277894193947</v>
      </c>
      <c r="D31" s="93">
        <f>$D$26*C31</f>
        <v>149549.25025049172</v>
      </c>
      <c r="E31" s="149">
        <v>136911</v>
      </c>
      <c r="F31" s="79">
        <f t="shared" si="0"/>
        <v>12638.250250491721</v>
      </c>
    </row>
    <row r="32" spans="1:6" ht="14.25" customHeight="1" x14ac:dyDescent="0.3">
      <c r="A32" s="124" t="s">
        <v>30</v>
      </c>
      <c r="B32" s="140">
        <f>SUM('[1]Data Entry'!C185,'[1]Data Entry'!E185,'[1]Data Entry'!G185)/3</f>
        <v>5.7969489314409796E-2</v>
      </c>
      <c r="C32" s="141">
        <f>B32/(SUM($B$33:$B$36))</f>
        <v>1.0000000000000002</v>
      </c>
      <c r="D32" s="142">
        <f>'[1]Adult Allocation Summary'!E44</f>
        <v>998833.71548762172</v>
      </c>
      <c r="E32" s="150">
        <v>914422</v>
      </c>
      <c r="F32" s="125">
        <f t="shared" si="0"/>
        <v>84411.715487621725</v>
      </c>
    </row>
    <row r="33" spans="1:6" ht="14.25" customHeight="1" x14ac:dyDescent="0.3">
      <c r="A33" s="127" t="s">
        <v>78</v>
      </c>
      <c r="B33" s="132">
        <f>SUM('[1]Data Entry'!C186,'[1]Data Entry'!E186,'[1]Data Entry'!G186)/3</f>
        <v>6.2161040272873261E-3</v>
      </c>
      <c r="C33" s="133">
        <f>B33/(SUM($B$33:$B$36))</f>
        <v>0.10723061563597655</v>
      </c>
      <c r="D33" s="93">
        <f>$D$32*C33</f>
        <v>107105.55422970753</v>
      </c>
      <c r="E33" s="149">
        <v>98054</v>
      </c>
      <c r="F33" s="79">
        <f t="shared" si="0"/>
        <v>9051.5542297075299</v>
      </c>
    </row>
    <row r="34" spans="1:6" ht="14.25" customHeight="1" x14ac:dyDescent="0.3">
      <c r="A34" s="127" t="s">
        <v>79</v>
      </c>
      <c r="B34" s="132">
        <f>SUM('[1]Data Entry'!C187,'[1]Data Entry'!E187,'[1]Data Entry'!G187)/3</f>
        <v>4.0465122672494165E-3</v>
      </c>
      <c r="C34" s="133">
        <f>B34/(SUM($B$33:$B$36))</f>
        <v>6.9804173110829065E-2</v>
      </c>
      <c r="D34" s="93">
        <f>$D$32*C34</f>
        <v>69722.761584830529</v>
      </c>
      <c r="E34" s="149">
        <v>63830</v>
      </c>
      <c r="F34" s="79">
        <f t="shared" si="0"/>
        <v>5892.7615848305286</v>
      </c>
    </row>
    <row r="35" spans="1:6" ht="14.25" customHeight="1" x14ac:dyDescent="0.3">
      <c r="A35" s="127" t="s">
        <v>80</v>
      </c>
      <c r="B35" s="132">
        <f>SUM('[1]Data Entry'!C188,'[1]Data Entry'!E188,'[1]Data Entry'!G188)/3</f>
        <v>2.1602333312921236E-3</v>
      </c>
      <c r="C35" s="133">
        <f>B35/(SUM($B$33:$B$36))</f>
        <v>3.7265005381980187E-2</v>
      </c>
      <c r="D35" s="93">
        <f>$D$32*C35-0.05</f>
        <v>37221.493783349491</v>
      </c>
      <c r="E35" s="149">
        <v>34076</v>
      </c>
      <c r="F35" s="79">
        <f t="shared" si="0"/>
        <v>3145.4937833494914</v>
      </c>
    </row>
    <row r="36" spans="1:6" ht="14.25" customHeight="1" x14ac:dyDescent="0.3">
      <c r="A36" s="127" t="s">
        <v>81</v>
      </c>
      <c r="B36" s="132">
        <f>SUM('[1]Data Entry'!C189,'[1]Data Entry'!E189,'[1]Data Entry'!G189)/3</f>
        <v>4.5546639688580921E-2</v>
      </c>
      <c r="C36" s="133">
        <f>B36/(SUM($B$33:$B$36))</f>
        <v>0.78570020587121414</v>
      </c>
      <c r="D36" s="93">
        <f>$D$32*C36</f>
        <v>784783.85588973411</v>
      </c>
      <c r="E36" s="149">
        <v>718462</v>
      </c>
      <c r="F36" s="79">
        <f t="shared" si="0"/>
        <v>66321.855889734114</v>
      </c>
    </row>
    <row r="37" spans="1:6" ht="14.25" customHeight="1" x14ac:dyDescent="0.3">
      <c r="A37" s="124" t="s">
        <v>31</v>
      </c>
      <c r="B37" s="140">
        <f>SUM('[1]Data Entry'!C190,'[1]Data Entry'!E190,'[1]Data Entry'!G190)/3</f>
        <v>3.2399190488223477E-2</v>
      </c>
      <c r="C37" s="141">
        <f>B37/(SUM($B$38:$B$46))</f>
        <v>1</v>
      </c>
      <c r="D37" s="142">
        <f>'[1]Adult Allocation Summary'!E45</f>
        <v>474121.47463662346</v>
      </c>
      <c r="E37" s="150">
        <v>434054</v>
      </c>
      <c r="F37" s="125">
        <f t="shared" si="0"/>
        <v>40067.474636623461</v>
      </c>
    </row>
    <row r="38" spans="1:6" ht="14.25" customHeight="1" x14ac:dyDescent="0.3">
      <c r="A38" s="127" t="s">
        <v>82</v>
      </c>
      <c r="B38" s="132">
        <f>SUM('[1]Data Entry'!C191,'[1]Data Entry'!E191,'[1]Data Entry'!G191)/3</f>
        <v>3.2512136291783368E-3</v>
      </c>
      <c r="C38" s="133">
        <f t="shared" ref="C38:C46" si="3">B38/(SUM($B$38:$B$46))</f>
        <v>0.10034860686905417</v>
      </c>
      <c r="D38" s="93">
        <f>$D$37*C38</f>
        <v>47577.429466486763</v>
      </c>
      <c r="E38" s="149">
        <v>43557</v>
      </c>
      <c r="F38" s="79">
        <f t="shared" si="0"/>
        <v>4020.429466486763</v>
      </c>
    </row>
    <row r="39" spans="1:6" ht="14.25" customHeight="1" x14ac:dyDescent="0.3">
      <c r="A39" s="127" t="s">
        <v>83</v>
      </c>
      <c r="B39" s="132">
        <f>SUM('[1]Data Entry'!C192,'[1]Data Entry'!E192,'[1]Data Entry'!G192)/3</f>
        <v>6.356303496325976E-4</v>
      </c>
      <c r="C39" s="133">
        <f t="shared" si="3"/>
        <v>1.9618710839816748E-2</v>
      </c>
      <c r="D39" s="93">
        <f t="shared" ref="D39:D46" si="4">$D$37*C39</f>
        <v>9301.6521138434255</v>
      </c>
      <c r="E39" s="149">
        <v>8516</v>
      </c>
      <c r="F39" s="79">
        <f t="shared" si="0"/>
        <v>785.65211384342547</v>
      </c>
    </row>
    <row r="40" spans="1:6" ht="14.25" customHeight="1" x14ac:dyDescent="0.3">
      <c r="A40" s="127" t="s">
        <v>84</v>
      </c>
      <c r="B40" s="132">
        <f>SUM('[1]Data Entry'!C193,'[1]Data Entry'!E193,'[1]Data Entry'!G193)/3</f>
        <v>1.720064319697857E-3</v>
      </c>
      <c r="C40" s="133">
        <f t="shared" si="3"/>
        <v>5.3089731372241211E-2</v>
      </c>
      <c r="D40" s="93">
        <f t="shared" si="4"/>
        <v>25170.981726269216</v>
      </c>
      <c r="E40" s="149">
        <v>23044</v>
      </c>
      <c r="F40" s="79">
        <f t="shared" si="0"/>
        <v>2126.9817262692159</v>
      </c>
    </row>
    <row r="41" spans="1:6" ht="14.25" customHeight="1" x14ac:dyDescent="0.3">
      <c r="A41" s="127" t="s">
        <v>85</v>
      </c>
      <c r="B41" s="132">
        <f>SUM('[1]Data Entry'!C194,'[1]Data Entry'!E194,'[1]Data Entry'!G194)/3</f>
        <v>3.3932993673419751E-4</v>
      </c>
      <c r="C41" s="133">
        <f t="shared" si="3"/>
        <v>1.0473407872876881E-2</v>
      </c>
      <c r="D41" s="93">
        <f t="shared" si="4"/>
        <v>4965.6675851592081</v>
      </c>
      <c r="E41" s="149">
        <v>4546</v>
      </c>
      <c r="F41" s="79">
        <f t="shared" si="0"/>
        <v>419.6675851592081</v>
      </c>
    </row>
    <row r="42" spans="1:6" ht="14.25" customHeight="1" x14ac:dyDescent="0.3">
      <c r="A42" s="127" t="s">
        <v>86</v>
      </c>
      <c r="B42" s="132">
        <f>SUM('[1]Data Entry'!C195,'[1]Data Entry'!E195,'[1]Data Entry'!G195)/3</f>
        <v>1.4844079236068467E-3</v>
      </c>
      <c r="C42" s="133">
        <f t="shared" si="3"/>
        <v>4.5816204085296582E-2</v>
      </c>
      <c r="D42" s="93">
        <f t="shared" si="4"/>
        <v>21722.446243173308</v>
      </c>
      <c r="E42" s="149">
        <v>19887</v>
      </c>
      <c r="F42" s="79">
        <f t="shared" si="0"/>
        <v>1835.4462431733082</v>
      </c>
    </row>
    <row r="43" spans="1:6" ht="14.25" customHeight="1" x14ac:dyDescent="0.3">
      <c r="A43" s="127" t="s">
        <v>87</v>
      </c>
      <c r="B43" s="132">
        <f>SUM('[1]Data Entry'!C196,'[1]Data Entry'!E196,'[1]Data Entry'!G196)/3</f>
        <v>2.7885451213680791E-3</v>
      </c>
      <c r="C43" s="133">
        <f t="shared" si="3"/>
        <v>8.6068357861646738E-2</v>
      </c>
      <c r="D43" s="93">
        <f t="shared" si="4"/>
        <v>40806.856748916573</v>
      </c>
      <c r="E43" s="149">
        <v>37358</v>
      </c>
      <c r="F43" s="79">
        <f t="shared" si="0"/>
        <v>3448.8567489165725</v>
      </c>
    </row>
    <row r="44" spans="1:6" ht="14.25" customHeight="1" x14ac:dyDescent="0.3">
      <c r="A44" s="127" t="s">
        <v>88</v>
      </c>
      <c r="B44" s="132">
        <f>SUM('[1]Data Entry'!C197,'[1]Data Entry'!E197,'[1]Data Entry'!G197)/3</f>
        <v>8.3649295672287519E-3</v>
      </c>
      <c r="C44" s="133">
        <f t="shared" si="3"/>
        <v>0.25818328918647687</v>
      </c>
      <c r="D44" s="93">
        <f t="shared" si="4"/>
        <v>122410.24179562622</v>
      </c>
      <c r="E44" s="149">
        <v>112065</v>
      </c>
      <c r="F44" s="79">
        <f t="shared" si="0"/>
        <v>10345.241795626222</v>
      </c>
    </row>
    <row r="45" spans="1:6" ht="14.25" customHeight="1" x14ac:dyDescent="0.3">
      <c r="A45" s="127" t="s">
        <v>89</v>
      </c>
      <c r="B45" s="132">
        <f>SUM('[1]Data Entry'!C198,'[1]Data Entry'!E198,'[1]Data Entry'!G198)/3</f>
        <v>8.6783087795804219E-3</v>
      </c>
      <c r="C45" s="133">
        <f t="shared" si="3"/>
        <v>0.26785572876380448</v>
      </c>
      <c r="D45" s="93">
        <f t="shared" si="4"/>
        <v>126996.15311136242</v>
      </c>
      <c r="E45" s="149">
        <v>116264</v>
      </c>
      <c r="F45" s="79">
        <f t="shared" si="0"/>
        <v>10732.153111362422</v>
      </c>
    </row>
    <row r="46" spans="1:6" ht="14.25" customHeight="1" x14ac:dyDescent="0.3">
      <c r="A46" s="127" t="s">
        <v>90</v>
      </c>
      <c r="B46" s="132">
        <f>SUM('[1]Data Entry'!C199,'[1]Data Entry'!E199,'[1]Data Entry'!G199)/3</f>
        <v>5.1367608611963865E-3</v>
      </c>
      <c r="C46" s="133">
        <f t="shared" si="3"/>
        <v>0.15854596314878627</v>
      </c>
      <c r="D46" s="93">
        <f t="shared" si="4"/>
        <v>75170.045845786313</v>
      </c>
      <c r="E46" s="149">
        <v>68817</v>
      </c>
      <c r="F46" s="79">
        <f t="shared" si="0"/>
        <v>6353.0458457863133</v>
      </c>
    </row>
    <row r="47" spans="1:6" ht="14.25" customHeight="1" x14ac:dyDescent="0.3">
      <c r="A47" s="124" t="s">
        <v>32</v>
      </c>
      <c r="B47" s="140">
        <f>SUM('[1]Data Entry'!C200,'[1]Data Entry'!E200,'[1]Data Entry'!G200)/3</f>
        <v>2.9602505228571774E-2</v>
      </c>
      <c r="C47" s="141">
        <f>B47/(SUM($B$48:$B$49))</f>
        <v>1.0000000000000002</v>
      </c>
      <c r="D47" s="142">
        <f>'[1]Adult Allocation Summary'!E46</f>
        <v>547497.72301724367</v>
      </c>
      <c r="E47" s="150">
        <v>501229</v>
      </c>
      <c r="F47" s="125">
        <f t="shared" si="0"/>
        <v>46268.723017243668</v>
      </c>
    </row>
    <row r="48" spans="1:6" ht="14.25" customHeight="1" x14ac:dyDescent="0.3">
      <c r="A48" s="128" t="s">
        <v>91</v>
      </c>
      <c r="B48" s="132">
        <f>SUM('[1]Data Entry'!C201,'[1]Data Entry'!E201,'[1]Data Entry'!G201)/3</f>
        <v>1.8827241890676357E-2</v>
      </c>
      <c r="C48" s="133">
        <f>B48/(SUM($B$48:$B$49))</f>
        <v>0.63600164058090136</v>
      </c>
      <c r="D48" s="93">
        <f>$D$47*C48+0.1</f>
        <v>348209.5500532749</v>
      </c>
      <c r="E48" s="149">
        <v>318782</v>
      </c>
      <c r="F48" s="79">
        <f t="shared" si="0"/>
        <v>29427.550053274899</v>
      </c>
    </row>
    <row r="49" spans="1:6" ht="14.25" customHeight="1" x14ac:dyDescent="0.3">
      <c r="A49" s="128" t="s">
        <v>92</v>
      </c>
      <c r="B49" s="132">
        <f>SUM('[1]Data Entry'!C202,'[1]Data Entry'!E202,'[1]Data Entry'!G202)/3</f>
        <v>1.0775263337895413E-2</v>
      </c>
      <c r="C49" s="133">
        <f>B49/(SUM($B$48:$B$49))</f>
        <v>0.36399835941909864</v>
      </c>
      <c r="D49" s="93">
        <f>$D$47*C49</f>
        <v>199288.27296396878</v>
      </c>
      <c r="E49" s="149">
        <v>182447</v>
      </c>
      <c r="F49" s="79">
        <f t="shared" si="0"/>
        <v>16841.272963968775</v>
      </c>
    </row>
    <row r="50" spans="1:6" ht="14.25" customHeight="1" thickBot="1" x14ac:dyDescent="0.35">
      <c r="A50" s="129" t="s">
        <v>33</v>
      </c>
      <c r="B50" s="145">
        <f>SUM('[1]Data Entry'!C203,'[1]Data Entry'!E203,'[1]Data Entry'!G203)/3</f>
        <v>7.1734812543162371E-2</v>
      </c>
      <c r="C50" s="146">
        <f>B50/B50</f>
        <v>1</v>
      </c>
      <c r="D50" s="147">
        <f>'[1]Adult Allocation Summary'!E47</f>
        <v>950237.05934372602</v>
      </c>
      <c r="E50" s="151">
        <v>869933</v>
      </c>
      <c r="F50" s="130">
        <f t="shared" si="0"/>
        <v>80304.059343726025</v>
      </c>
    </row>
    <row r="51" spans="1:6" ht="14.25" customHeight="1" thickBot="1" x14ac:dyDescent="0.35">
      <c r="A51" s="131" t="s">
        <v>34</v>
      </c>
      <c r="B51" s="134">
        <f>SUM(B50,B47,B37,B32,B26,B19:B22,B14,B8,B4)</f>
        <v>1</v>
      </c>
      <c r="C51" s="135"/>
      <c r="D51" s="136">
        <f>SUM(D50,D47,D37,D32,D26,D19:D22,D14,D8,D4)</f>
        <v>13829994.033927007</v>
      </c>
      <c r="E51" s="153">
        <f>SUM(E4,E8,E14,E19:E22,E26,E32,E37,E47,E50)</f>
        <v>12661225</v>
      </c>
      <c r="F51" s="81">
        <f>D51-E51</f>
        <v>1168769.0339270066</v>
      </c>
    </row>
  </sheetData>
  <mergeCells count="5">
    <mergeCell ref="B2:B3"/>
    <mergeCell ref="C2:C3"/>
    <mergeCell ref="D2:D3"/>
    <mergeCell ref="E2:E3"/>
    <mergeCell ref="F2:F3"/>
  </mergeCells>
  <printOptions horizontalCentered="1" verticalCentered="1"/>
  <pageMargins left="0" right="0" top="0.75" bottom="0" header="0.3" footer="0.3"/>
  <pageSetup orientation="portrait" horizontalDpi="300" verticalDpi="300" r:id="rId1"/>
  <headerFooter>
    <oddHeader>&amp;C&amp;"-,Bold"&amp;12
WIA Adult Allocation by County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35"/>
  <sheetViews>
    <sheetView view="pageLayout" topLeftCell="A10" zoomScaleNormal="100" workbookViewId="0">
      <selection activeCell="I26" sqref="I26:I28"/>
    </sheetView>
  </sheetViews>
  <sheetFormatPr defaultColWidth="9.109375" defaultRowHeight="14.4" x14ac:dyDescent="0.3"/>
  <cols>
    <col min="1" max="2" width="9.109375" style="50"/>
    <col min="3" max="3" width="15.109375" style="50" customWidth="1"/>
    <col min="4" max="4" width="14.33203125" style="50" customWidth="1"/>
    <col min="5" max="5" width="5.5546875" style="50" customWidth="1"/>
    <col min="6" max="6" width="13" style="50" customWidth="1"/>
    <col min="7" max="7" width="6.109375" style="50" customWidth="1"/>
    <col min="8" max="8" width="12.88671875" style="50" customWidth="1"/>
    <col min="9" max="9" width="14.33203125" style="50" customWidth="1"/>
    <col min="10" max="16384" width="9.109375" style="50"/>
  </cols>
  <sheetData>
    <row r="1" spans="1:9" ht="16.2" thickBot="1" x14ac:dyDescent="0.35">
      <c r="A1" s="240" t="s">
        <v>44</v>
      </c>
      <c r="B1" s="241"/>
      <c r="C1" s="241"/>
      <c r="D1" s="242"/>
      <c r="F1" s="263" t="s">
        <v>42</v>
      </c>
      <c r="G1" s="264"/>
      <c r="H1" s="264"/>
      <c r="I1" s="265"/>
    </row>
    <row r="2" spans="1:9" ht="16.5" customHeight="1" x14ac:dyDescent="0.3">
      <c r="A2" s="88"/>
      <c r="B2" s="89"/>
      <c r="C2" s="267" t="s">
        <v>41</v>
      </c>
      <c r="D2" s="268"/>
      <c r="F2" s="64"/>
      <c r="G2" s="65"/>
      <c r="H2" s="245" t="s">
        <v>35</v>
      </c>
      <c r="I2" s="246"/>
    </row>
    <row r="3" spans="1:9" ht="16.5" customHeight="1" x14ac:dyDescent="0.3">
      <c r="A3" s="90"/>
      <c r="B3" s="91"/>
      <c r="C3" s="323" t="s">
        <v>95</v>
      </c>
      <c r="D3" s="325" t="s">
        <v>96</v>
      </c>
      <c r="F3" s="52"/>
      <c r="G3" s="53"/>
      <c r="H3" s="247" t="s">
        <v>95</v>
      </c>
      <c r="I3" s="249" t="s">
        <v>96</v>
      </c>
    </row>
    <row r="4" spans="1:9" ht="16.5" customHeight="1" thickBot="1" x14ac:dyDescent="0.35">
      <c r="A4" s="90"/>
      <c r="B4" s="91"/>
      <c r="C4" s="324"/>
      <c r="D4" s="326"/>
      <c r="F4" s="52"/>
      <c r="G4" s="53"/>
      <c r="H4" s="248"/>
      <c r="I4" s="250"/>
    </row>
    <row r="5" spans="1:9" ht="16.5" customHeight="1" x14ac:dyDescent="0.3">
      <c r="A5" s="273" t="s">
        <v>22</v>
      </c>
      <c r="B5" s="274"/>
      <c r="C5" s="177">
        <v>4.0606252471810961E-2</v>
      </c>
      <c r="D5" s="183">
        <v>747216.96798602864</v>
      </c>
      <c r="F5" s="243" t="s">
        <v>22</v>
      </c>
      <c r="G5" s="244"/>
      <c r="H5" s="161">
        <v>4.0606285230803389E-2</v>
      </c>
      <c r="I5" s="77">
        <v>121109.50652602752</v>
      </c>
    </row>
    <row r="6" spans="1:9" ht="16.5" customHeight="1" x14ac:dyDescent="0.3">
      <c r="A6" s="253" t="s">
        <v>23</v>
      </c>
      <c r="B6" s="254"/>
      <c r="C6" s="175">
        <v>7.6855427173994212E-2</v>
      </c>
      <c r="D6" s="179">
        <v>1414257.0606851627</v>
      </c>
      <c r="F6" s="251" t="s">
        <v>23</v>
      </c>
      <c r="G6" s="252"/>
      <c r="H6" s="82">
        <v>7.6855425717415937E-2</v>
      </c>
      <c r="I6" s="79">
        <v>229223.69356316153</v>
      </c>
    </row>
    <row r="7" spans="1:9" ht="16.5" customHeight="1" x14ac:dyDescent="0.3">
      <c r="A7" s="253" t="s">
        <v>24</v>
      </c>
      <c r="B7" s="254"/>
      <c r="C7" s="175">
        <v>5.867054542730616E-2</v>
      </c>
      <c r="D7" s="179">
        <v>1079627.5055106829</v>
      </c>
      <c r="F7" s="251" t="s">
        <v>24</v>
      </c>
      <c r="G7" s="252"/>
      <c r="H7" s="82">
        <v>5.8670544315371137E-2</v>
      </c>
      <c r="I7" s="79">
        <v>174986.7201409954</v>
      </c>
    </row>
    <row r="8" spans="1:9" ht="16.5" customHeight="1" x14ac:dyDescent="0.3">
      <c r="A8" s="253" t="s">
        <v>25</v>
      </c>
      <c r="B8" s="254"/>
      <c r="C8" s="175">
        <v>0.1140673558496632</v>
      </c>
      <c r="D8" s="179">
        <v>2099013.2946481062</v>
      </c>
      <c r="F8" s="251" t="s">
        <v>25</v>
      </c>
      <c r="G8" s="252"/>
      <c r="H8" s="82">
        <v>0.11406735368783757</v>
      </c>
      <c r="I8" s="79">
        <v>340209.42416530754</v>
      </c>
    </row>
    <row r="9" spans="1:9" ht="16.5" customHeight="1" x14ac:dyDescent="0.3">
      <c r="A9" s="253" t="s">
        <v>26</v>
      </c>
      <c r="B9" s="254"/>
      <c r="C9" s="175">
        <v>0.29734261122277522</v>
      </c>
      <c r="D9" s="179">
        <v>5471557.4791140491</v>
      </c>
      <c r="F9" s="251" t="s">
        <v>26</v>
      </c>
      <c r="G9" s="252"/>
      <c r="H9" s="82">
        <v>0.29734257477607945</v>
      </c>
      <c r="I9" s="79">
        <v>886833.46175660368</v>
      </c>
    </row>
    <row r="10" spans="1:9" ht="16.5" customHeight="1" x14ac:dyDescent="0.3">
      <c r="A10" s="253" t="s">
        <v>27</v>
      </c>
      <c r="B10" s="254"/>
      <c r="C10" s="175">
        <v>0.12012599388171895</v>
      </c>
      <c r="D10" s="179">
        <v>2210501.4735579989</v>
      </c>
      <c r="F10" s="251" t="s">
        <v>27</v>
      </c>
      <c r="G10" s="252"/>
      <c r="H10" s="82">
        <v>0.1201259916050689</v>
      </c>
      <c r="I10" s="79">
        <v>358279.49987415731</v>
      </c>
    </row>
    <row r="11" spans="1:9" ht="16.5" customHeight="1" x14ac:dyDescent="0.3">
      <c r="A11" s="253" t="s">
        <v>28</v>
      </c>
      <c r="B11" s="254"/>
      <c r="C11" s="175">
        <v>8.3365266581697434E-2</v>
      </c>
      <c r="D11" s="179">
        <v>1534048.0329665069</v>
      </c>
      <c r="F11" s="251" t="s">
        <v>28</v>
      </c>
      <c r="G11" s="252"/>
      <c r="H11" s="82">
        <v>8.3365265001743474E-2</v>
      </c>
      <c r="I11" s="79">
        <v>248639.49135917821</v>
      </c>
    </row>
    <row r="12" spans="1:9" ht="16.5" customHeight="1" x14ac:dyDescent="0.3">
      <c r="A12" s="253" t="s">
        <v>29</v>
      </c>
      <c r="B12" s="254"/>
      <c r="C12" s="175">
        <v>4.1933027071508339E-2</v>
      </c>
      <c r="D12" s="179">
        <v>771631.64388538629</v>
      </c>
      <c r="F12" s="251" t="s">
        <v>29</v>
      </c>
      <c r="G12" s="252"/>
      <c r="H12" s="82">
        <v>4.1933026276785849E-2</v>
      </c>
      <c r="I12" s="79">
        <v>125066.55289097968</v>
      </c>
    </row>
    <row r="13" spans="1:9" ht="16.5" customHeight="1" x14ac:dyDescent="0.3">
      <c r="A13" s="253" t="s">
        <v>30</v>
      </c>
      <c r="B13" s="254"/>
      <c r="C13" s="175">
        <v>5.0008441789170049E-2</v>
      </c>
      <c r="D13" s="178">
        <v>920231.58929403545</v>
      </c>
      <c r="F13" s="251" t="s">
        <v>30</v>
      </c>
      <c r="G13" s="252"/>
      <c r="H13" s="82">
        <v>5.0008440841400811E-2</v>
      </c>
      <c r="I13" s="79">
        <v>149151.72757156604</v>
      </c>
    </row>
    <row r="14" spans="1:9" ht="16.5" customHeight="1" x14ac:dyDescent="0.3">
      <c r="A14" s="253" t="s">
        <v>31</v>
      </c>
      <c r="B14" s="254"/>
      <c r="C14" s="175">
        <v>2.0455272417137002E-2</v>
      </c>
      <c r="D14" s="179">
        <v>376408.20574299339</v>
      </c>
      <c r="F14" s="251" t="s">
        <v>31</v>
      </c>
      <c r="G14" s="252"/>
      <c r="H14" s="82">
        <v>2.0455288264484062E-2</v>
      </c>
      <c r="I14" s="79">
        <v>61008.532385524319</v>
      </c>
    </row>
    <row r="15" spans="1:9" ht="16.5" customHeight="1" x14ac:dyDescent="0.3">
      <c r="A15" s="253" t="s">
        <v>32</v>
      </c>
      <c r="B15" s="254"/>
      <c r="C15" s="175">
        <v>2.9484460524933025E-2</v>
      </c>
      <c r="D15" s="178">
        <v>542559.03598684527</v>
      </c>
      <c r="F15" s="251" t="s">
        <v>32</v>
      </c>
      <c r="G15" s="252"/>
      <c r="H15" s="82">
        <v>2.9484459966138077E-2</v>
      </c>
      <c r="I15" s="79">
        <v>87938.317341488757</v>
      </c>
    </row>
    <row r="16" spans="1:9" ht="16.5" customHeight="1" thickBot="1" x14ac:dyDescent="0.35">
      <c r="A16" s="255" t="s">
        <v>33</v>
      </c>
      <c r="B16" s="256"/>
      <c r="C16" s="176">
        <v>6.7085345588285286E-2</v>
      </c>
      <c r="D16" s="180">
        <v>1234472.6606222044</v>
      </c>
      <c r="F16" s="259" t="s">
        <v>33</v>
      </c>
      <c r="G16" s="260"/>
      <c r="H16" s="162">
        <v>6.7085344316871423E-2</v>
      </c>
      <c r="I16" s="160">
        <v>200084.12242501005</v>
      </c>
    </row>
    <row r="17" spans="1:9" ht="16.5" customHeight="1" thickBot="1" x14ac:dyDescent="0.35">
      <c r="A17" s="257" t="s">
        <v>34</v>
      </c>
      <c r="B17" s="258"/>
      <c r="C17" s="181">
        <v>0.99999999999999978</v>
      </c>
      <c r="D17" s="182">
        <v>18401524.950000003</v>
      </c>
      <c r="F17" s="261" t="s">
        <v>34</v>
      </c>
      <c r="G17" s="262"/>
      <c r="H17" s="163">
        <v>0.99999999999999989</v>
      </c>
      <c r="I17" s="83">
        <v>2982531.05</v>
      </c>
    </row>
    <row r="18" spans="1:9" ht="11.25" customHeight="1" thickBot="1" x14ac:dyDescent="0.35">
      <c r="C18" s="86"/>
      <c r="D18" s="87"/>
    </row>
    <row r="19" spans="1:9" ht="16.5" customHeight="1" thickBot="1" x14ac:dyDescent="0.35">
      <c r="A19" s="263" t="s">
        <v>43</v>
      </c>
      <c r="B19" s="264"/>
      <c r="C19" s="264"/>
      <c r="D19" s="264"/>
      <c r="E19" s="237" t="s">
        <v>18</v>
      </c>
      <c r="F19" s="266"/>
      <c r="G19" s="266"/>
      <c r="H19" s="238"/>
    </row>
    <row r="20" spans="1:9" ht="16.5" customHeight="1" x14ac:dyDescent="0.3">
      <c r="A20" s="64"/>
      <c r="B20" s="65"/>
      <c r="C20" s="245" t="s">
        <v>35</v>
      </c>
      <c r="D20" s="246"/>
      <c r="E20" s="279" t="s">
        <v>19</v>
      </c>
      <c r="F20" s="280"/>
      <c r="G20" s="280" t="s">
        <v>20</v>
      </c>
      <c r="H20" s="285"/>
    </row>
    <row r="21" spans="1:9" ht="16.5" customHeight="1" x14ac:dyDescent="0.3">
      <c r="A21" s="52"/>
      <c r="B21" s="53"/>
      <c r="C21" s="247" t="s">
        <v>95</v>
      </c>
      <c r="D21" s="249" t="s">
        <v>96</v>
      </c>
      <c r="E21" s="281"/>
      <c r="F21" s="282"/>
      <c r="G21" s="282"/>
      <c r="H21" s="286"/>
    </row>
    <row r="22" spans="1:9" ht="16.5" customHeight="1" thickBot="1" x14ac:dyDescent="0.35">
      <c r="A22" s="52"/>
      <c r="B22" s="53"/>
      <c r="C22" s="248"/>
      <c r="D22" s="250"/>
      <c r="E22" s="283"/>
      <c r="F22" s="284"/>
      <c r="G22" s="284"/>
      <c r="H22" s="287"/>
    </row>
    <row r="23" spans="1:9" ht="16.5" customHeight="1" x14ac:dyDescent="0.3">
      <c r="A23" s="243" t="s">
        <v>22</v>
      </c>
      <c r="B23" s="244"/>
      <c r="C23" s="187">
        <v>4.0606214761034896E-2</v>
      </c>
      <c r="D23" s="191">
        <v>626106.96146000107</v>
      </c>
      <c r="E23" s="290">
        <v>560661</v>
      </c>
      <c r="F23" s="291"/>
      <c r="G23" s="288">
        <f>D23-E23</f>
        <v>65445.961460001068</v>
      </c>
      <c r="H23" s="289"/>
    </row>
    <row r="24" spans="1:9" ht="16.5" customHeight="1" x14ac:dyDescent="0.3">
      <c r="A24" s="251" t="s">
        <v>23</v>
      </c>
      <c r="B24" s="252"/>
      <c r="C24" s="185">
        <v>7.6855429449529306E-2</v>
      </c>
      <c r="D24" s="188">
        <v>1185033.367122001</v>
      </c>
      <c r="E24" s="292">
        <v>1061165</v>
      </c>
      <c r="F24" s="293"/>
      <c r="G24" s="292">
        <f>D24-E24</f>
        <v>123868.36712200101</v>
      </c>
      <c r="H24" s="293"/>
    </row>
    <row r="25" spans="1:9" ht="16.5" customHeight="1" x14ac:dyDescent="0.3">
      <c r="A25" s="251" t="s">
        <v>24</v>
      </c>
      <c r="B25" s="252"/>
      <c r="C25" s="185">
        <v>5.8670547164423402E-2</v>
      </c>
      <c r="D25" s="188">
        <v>904640.78536968783</v>
      </c>
      <c r="E25" s="292">
        <v>810081</v>
      </c>
      <c r="F25" s="293"/>
      <c r="G25" s="292">
        <f t="shared" ref="G25:G34" si="0">D25-E25</f>
        <v>94559.78536968783</v>
      </c>
      <c r="H25" s="293"/>
    </row>
    <row r="26" spans="1:9" ht="16.5" customHeight="1" x14ac:dyDescent="0.3">
      <c r="A26" s="251" t="s">
        <v>25</v>
      </c>
      <c r="B26" s="252"/>
      <c r="C26" s="185">
        <v>0.11406735922696891</v>
      </c>
      <c r="D26" s="188">
        <v>1758803.8704827987</v>
      </c>
      <c r="E26" s="292">
        <v>1574961</v>
      </c>
      <c r="F26" s="293"/>
      <c r="G26" s="292">
        <f t="shared" si="0"/>
        <v>183842.87048279867</v>
      </c>
      <c r="H26" s="293"/>
    </row>
    <row r="27" spans="1:9" ht="16.5" customHeight="1" x14ac:dyDescent="0.3">
      <c r="A27" s="251" t="s">
        <v>26</v>
      </c>
      <c r="B27" s="252"/>
      <c r="C27" s="185">
        <v>0.29734262274365997</v>
      </c>
      <c r="D27" s="188">
        <v>4584723.9673574455</v>
      </c>
      <c r="E27" s="292">
        <v>4105495</v>
      </c>
      <c r="F27" s="293"/>
      <c r="G27" s="292">
        <f t="shared" si="0"/>
        <v>479228.96735744551</v>
      </c>
      <c r="H27" s="293"/>
    </row>
    <row r="28" spans="1:9" ht="16.5" customHeight="1" x14ac:dyDescent="0.3">
      <c r="A28" s="251" t="s">
        <v>27</v>
      </c>
      <c r="B28" s="252"/>
      <c r="C28" s="185">
        <v>0.12012599743840881</v>
      </c>
      <c r="D28" s="188">
        <v>1852221.973683842</v>
      </c>
      <c r="E28" s="292">
        <v>1658614</v>
      </c>
      <c r="F28" s="293"/>
      <c r="G28" s="292">
        <f t="shared" si="0"/>
        <v>193607.97368384199</v>
      </c>
      <c r="H28" s="293"/>
    </row>
    <row r="29" spans="1:9" ht="16.5" customHeight="1" x14ac:dyDescent="0.3">
      <c r="A29" s="251" t="s">
        <v>28</v>
      </c>
      <c r="B29" s="252"/>
      <c r="C29" s="185">
        <v>8.3365269049975849E-2</v>
      </c>
      <c r="D29" s="188">
        <v>1285408.5416073287</v>
      </c>
      <c r="E29" s="292">
        <v>1151048</v>
      </c>
      <c r="F29" s="293"/>
      <c r="G29" s="292">
        <f t="shared" si="0"/>
        <v>134360.54160732869</v>
      </c>
      <c r="H29" s="293"/>
    </row>
    <row r="30" spans="1:9" ht="16.5" customHeight="1" x14ac:dyDescent="0.3">
      <c r="A30" s="251" t="s">
        <v>29</v>
      </c>
      <c r="B30" s="252"/>
      <c r="C30" s="185">
        <v>4.1933028313061199E-2</v>
      </c>
      <c r="D30" s="188">
        <v>646565.09099440661</v>
      </c>
      <c r="E30" s="292">
        <v>578981</v>
      </c>
      <c r="F30" s="293"/>
      <c r="G30" s="292">
        <f t="shared" si="0"/>
        <v>67584.090994406608</v>
      </c>
      <c r="H30" s="293"/>
    </row>
    <row r="31" spans="1:9" ht="16.5" customHeight="1" x14ac:dyDescent="0.3">
      <c r="A31" s="251" t="s">
        <v>30</v>
      </c>
      <c r="B31" s="252"/>
      <c r="C31" s="185">
        <v>5.000844326981975E-2</v>
      </c>
      <c r="D31" s="188">
        <v>771079.86172246945</v>
      </c>
      <c r="E31" s="292">
        <v>690481</v>
      </c>
      <c r="F31" s="293"/>
      <c r="G31" s="292">
        <f t="shared" si="0"/>
        <v>80598.861722469446</v>
      </c>
      <c r="H31" s="293"/>
    </row>
    <row r="32" spans="1:9" ht="16.5" customHeight="1" x14ac:dyDescent="0.3">
      <c r="A32" s="251" t="s">
        <v>31</v>
      </c>
      <c r="B32" s="252"/>
      <c r="C32" s="185">
        <v>2.0455240697615514E-2</v>
      </c>
      <c r="D32" s="188">
        <v>315399.22335746908</v>
      </c>
      <c r="E32" s="292">
        <v>282431</v>
      </c>
      <c r="F32" s="293"/>
      <c r="G32" s="292">
        <f t="shared" si="0"/>
        <v>32968.223357469076</v>
      </c>
      <c r="H32" s="293"/>
    </row>
    <row r="33" spans="1:8" ht="16.5" customHeight="1" x14ac:dyDescent="0.3">
      <c r="A33" s="251" t="s">
        <v>32</v>
      </c>
      <c r="B33" s="252"/>
      <c r="C33" s="185">
        <v>2.9484500310954568E-2</v>
      </c>
      <c r="D33" s="188">
        <v>454621.31864535646</v>
      </c>
      <c r="E33" s="292">
        <v>407101</v>
      </c>
      <c r="F33" s="293"/>
      <c r="G33" s="292">
        <f t="shared" si="0"/>
        <v>47520.318645356456</v>
      </c>
      <c r="H33" s="293"/>
    </row>
    <row r="34" spans="1:8" ht="16.5" customHeight="1" thickBot="1" x14ac:dyDescent="0.35">
      <c r="A34" s="259" t="s">
        <v>33</v>
      </c>
      <c r="B34" s="260"/>
      <c r="C34" s="186">
        <v>6.7085347574547885E-2</v>
      </c>
      <c r="D34" s="165">
        <v>1034388.5381971947</v>
      </c>
      <c r="E34" s="298">
        <v>926267</v>
      </c>
      <c r="F34" s="299"/>
      <c r="G34" s="292">
        <f t="shared" si="0"/>
        <v>108121.53819719469</v>
      </c>
      <c r="H34" s="293"/>
    </row>
    <row r="35" spans="1:8" ht="16.5" customHeight="1" thickBot="1" x14ac:dyDescent="0.35">
      <c r="A35" s="261" t="s">
        <v>34</v>
      </c>
      <c r="B35" s="262"/>
      <c r="C35" s="189">
        <v>1.0000000000000002</v>
      </c>
      <c r="D35" s="190">
        <v>15418993.5</v>
      </c>
      <c r="E35" s="294">
        <f>SUM(E23:F34)</f>
        <v>13807286</v>
      </c>
      <c r="F35" s="295"/>
      <c r="G35" s="296">
        <f>SUM(G23:H34)</f>
        <v>1611707.5000000009</v>
      </c>
      <c r="H35" s="297"/>
    </row>
  </sheetData>
  <mergeCells count="80">
    <mergeCell ref="A35:B35"/>
    <mergeCell ref="E35:F35"/>
    <mergeCell ref="G35:H35"/>
    <mergeCell ref="A33:B33"/>
    <mergeCell ref="E33:F33"/>
    <mergeCell ref="G33:H33"/>
    <mergeCell ref="A34:B34"/>
    <mergeCell ref="E34:F34"/>
    <mergeCell ref="G34:H34"/>
    <mergeCell ref="A31:B31"/>
    <mergeCell ref="E31:F31"/>
    <mergeCell ref="G31:H31"/>
    <mergeCell ref="A32:B32"/>
    <mergeCell ref="E32:F32"/>
    <mergeCell ref="G32:H32"/>
    <mergeCell ref="A29:B29"/>
    <mergeCell ref="E29:F29"/>
    <mergeCell ref="G29:H29"/>
    <mergeCell ref="A30:B30"/>
    <mergeCell ref="E30:F30"/>
    <mergeCell ref="G30:H30"/>
    <mergeCell ref="A27:B27"/>
    <mergeCell ref="E27:F27"/>
    <mergeCell ref="G27:H27"/>
    <mergeCell ref="A28:B28"/>
    <mergeCell ref="E28:F28"/>
    <mergeCell ref="G28:H28"/>
    <mergeCell ref="A25:B25"/>
    <mergeCell ref="E25:F25"/>
    <mergeCell ref="G25:H25"/>
    <mergeCell ref="A26:B26"/>
    <mergeCell ref="E26:F26"/>
    <mergeCell ref="G26:H26"/>
    <mergeCell ref="A23:B23"/>
    <mergeCell ref="E23:F23"/>
    <mergeCell ref="G23:H23"/>
    <mergeCell ref="A24:B24"/>
    <mergeCell ref="E24:F24"/>
    <mergeCell ref="G24:H24"/>
    <mergeCell ref="A17:B17"/>
    <mergeCell ref="F17:G17"/>
    <mergeCell ref="A19:D19"/>
    <mergeCell ref="E19:H19"/>
    <mergeCell ref="C20:D20"/>
    <mergeCell ref="E20:F22"/>
    <mergeCell ref="G20:H22"/>
    <mergeCell ref="C21:C22"/>
    <mergeCell ref="D21:D22"/>
    <mergeCell ref="A14:B14"/>
    <mergeCell ref="F14:G14"/>
    <mergeCell ref="A15:B15"/>
    <mergeCell ref="F15:G15"/>
    <mergeCell ref="A16:B16"/>
    <mergeCell ref="F16:G16"/>
    <mergeCell ref="A11:B11"/>
    <mergeCell ref="F11:G11"/>
    <mergeCell ref="A12:B12"/>
    <mergeCell ref="F12:G12"/>
    <mergeCell ref="A13:B13"/>
    <mergeCell ref="F13:G13"/>
    <mergeCell ref="A8:B8"/>
    <mergeCell ref="F8:G8"/>
    <mergeCell ref="A9:B9"/>
    <mergeCell ref="F9:G9"/>
    <mergeCell ref="A10:B10"/>
    <mergeCell ref="F10:G10"/>
    <mergeCell ref="A5:B5"/>
    <mergeCell ref="F5:G5"/>
    <mergeCell ref="A6:B6"/>
    <mergeCell ref="F6:G6"/>
    <mergeCell ref="A7:B7"/>
    <mergeCell ref="F7:G7"/>
    <mergeCell ref="A1:D1"/>
    <mergeCell ref="F1:I1"/>
    <mergeCell ref="C2:D2"/>
    <mergeCell ref="H2:I2"/>
    <mergeCell ref="C3:C4"/>
    <mergeCell ref="D3:D4"/>
    <mergeCell ref="H3:H4"/>
    <mergeCell ref="I3:I4"/>
  </mergeCells>
  <printOptions horizontalCentered="1" verticalCentered="1"/>
  <pageMargins left="0" right="0" top="0.58333333333333304" bottom="0" header="0.3" footer="0.3"/>
  <pageSetup orientation="landscape" horizontalDpi="300" verticalDpi="300" r:id="rId1"/>
  <headerFooter>
    <oddHeader>&amp;C&amp;"-,Bold"&amp;12WIA Dislocated Worker Allocation by WDA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49"/>
  <sheetViews>
    <sheetView tabSelected="1" view="pageLayout" topLeftCell="A10" zoomScaleNormal="100" workbookViewId="0">
      <selection activeCell="G16" sqref="G16"/>
    </sheetView>
  </sheetViews>
  <sheetFormatPr defaultColWidth="9.109375" defaultRowHeight="14.4" x14ac:dyDescent="0.3"/>
  <cols>
    <col min="1" max="2" width="9.109375" style="50"/>
    <col min="3" max="3" width="15" style="50" customWidth="1"/>
    <col min="4" max="4" width="14.44140625" style="50" customWidth="1"/>
    <col min="5" max="5" width="15.109375" style="50" customWidth="1"/>
    <col min="6" max="6" width="15.6640625" style="50" customWidth="1"/>
    <col min="7" max="9" width="15" style="50" customWidth="1"/>
    <col min="10" max="10" width="14.33203125" style="50" bestFit="1" customWidth="1"/>
    <col min="11" max="11" width="15.33203125" style="50" bestFit="1" customWidth="1"/>
    <col min="12" max="16384" width="9.109375" style="50"/>
  </cols>
  <sheetData>
    <row r="1" spans="1:7" ht="15" thickBot="1" x14ac:dyDescent="0.35">
      <c r="A1" s="231" t="s">
        <v>0</v>
      </c>
      <c r="B1" s="231"/>
      <c r="C1" s="62" t="str">
        <f>'[1]Data Entry'!B1</f>
        <v>PY 2011</v>
      </c>
    </row>
    <row r="2" spans="1:7" ht="14.25" customHeight="1" thickBot="1" x14ac:dyDescent="0.35">
      <c r="A2" s="34"/>
      <c r="B2" s="35"/>
      <c r="C2" s="300" t="s">
        <v>97</v>
      </c>
      <c r="D2" s="301"/>
      <c r="E2" s="302"/>
    </row>
    <row r="3" spans="1:7" ht="29.25" customHeight="1" thickBot="1" x14ac:dyDescent="0.35">
      <c r="A3" s="52"/>
      <c r="B3" s="53"/>
      <c r="C3" s="85" t="s">
        <v>46</v>
      </c>
      <c r="D3" s="84" t="s">
        <v>47</v>
      </c>
      <c r="E3" s="98" t="s">
        <v>48</v>
      </c>
    </row>
    <row r="4" spans="1:7" ht="14.25" customHeight="1" x14ac:dyDescent="0.3">
      <c r="A4" s="243" t="s">
        <v>22</v>
      </c>
      <c r="B4" s="244"/>
      <c r="C4" s="96">
        <v>108998.55587342476</v>
      </c>
      <c r="D4" s="76">
        <v>12110.950652602753</v>
      </c>
      <c r="E4" s="94">
        <v>121109.50652602752</v>
      </c>
    </row>
    <row r="5" spans="1:7" ht="14.25" customHeight="1" x14ac:dyDescent="0.3">
      <c r="A5" s="251" t="s">
        <v>23</v>
      </c>
      <c r="B5" s="252"/>
      <c r="C5" s="92">
        <f>206301.324206845+0.2</f>
        <v>206301.524206845</v>
      </c>
      <c r="D5" s="78">
        <v>22922.369356316154</v>
      </c>
      <c r="E5" s="93">
        <v>229223.69356316153</v>
      </c>
    </row>
    <row r="6" spans="1:7" ht="14.25" customHeight="1" x14ac:dyDescent="0.3">
      <c r="A6" s="251" t="s">
        <v>24</v>
      </c>
      <c r="B6" s="252"/>
      <c r="C6" s="92">
        <v>157488.04812689585</v>
      </c>
      <c r="D6" s="78">
        <v>17498.672014099542</v>
      </c>
      <c r="E6" s="93">
        <v>174986.7201409954</v>
      </c>
    </row>
    <row r="7" spans="1:7" ht="14.25" customHeight="1" x14ac:dyDescent="0.3">
      <c r="A7" s="251" t="s">
        <v>25</v>
      </c>
      <c r="B7" s="252"/>
      <c r="C7" s="92">
        <v>306188.4817487768</v>
      </c>
      <c r="D7" s="78">
        <v>34020.942416530757</v>
      </c>
      <c r="E7" s="93">
        <v>340209.42416530754</v>
      </c>
    </row>
    <row r="8" spans="1:7" ht="14.25" customHeight="1" x14ac:dyDescent="0.3">
      <c r="A8" s="251" t="s">
        <v>26</v>
      </c>
      <c r="B8" s="252"/>
      <c r="C8" s="92">
        <v>798150.1155809433</v>
      </c>
      <c r="D8" s="78">
        <v>88683.346175660379</v>
      </c>
      <c r="E8" s="93">
        <v>886833.46175660368</v>
      </c>
    </row>
    <row r="9" spans="1:7" ht="14.25" customHeight="1" x14ac:dyDescent="0.3">
      <c r="A9" s="251" t="s">
        <v>27</v>
      </c>
      <c r="B9" s="252"/>
      <c r="C9" s="92">
        <f>322451.509886742-0.05</f>
        <v>322451.459886742</v>
      </c>
      <c r="D9" s="78">
        <v>35827.949987415734</v>
      </c>
      <c r="E9" s="93">
        <v>358279.49987415731</v>
      </c>
    </row>
    <row r="10" spans="1:7" ht="14.25" customHeight="1" x14ac:dyDescent="0.3">
      <c r="A10" s="251" t="s">
        <v>28</v>
      </c>
      <c r="B10" s="252"/>
      <c r="C10" s="92">
        <v>223775.4922232604</v>
      </c>
      <c r="D10" s="78">
        <v>24863.949135917821</v>
      </c>
      <c r="E10" s="93">
        <v>248639.49135917821</v>
      </c>
      <c r="F10" s="50" t="s">
        <v>49</v>
      </c>
    </row>
    <row r="11" spans="1:7" ht="14.25" customHeight="1" x14ac:dyDescent="0.3">
      <c r="A11" s="251" t="s">
        <v>29</v>
      </c>
      <c r="B11" s="252"/>
      <c r="C11" s="92">
        <v>112559.89760188172</v>
      </c>
      <c r="D11" s="78">
        <v>12506.655289097969</v>
      </c>
      <c r="E11" s="93">
        <v>125066.55289097968</v>
      </c>
    </row>
    <row r="12" spans="1:7" ht="14.25" customHeight="1" x14ac:dyDescent="0.3">
      <c r="A12" s="251" t="s">
        <v>30</v>
      </c>
      <c r="B12" s="252"/>
      <c r="C12" s="92">
        <v>134236.55481440944</v>
      </c>
      <c r="D12" s="78">
        <v>14915.172757156604</v>
      </c>
      <c r="E12" s="93">
        <v>149151.72757156604</v>
      </c>
    </row>
    <row r="13" spans="1:7" ht="14.25" customHeight="1" x14ac:dyDescent="0.3">
      <c r="A13" s="251" t="s">
        <v>31</v>
      </c>
      <c r="B13" s="252"/>
      <c r="C13" s="92">
        <v>54907.679146971888</v>
      </c>
      <c r="D13" s="78">
        <v>6100.8532385524322</v>
      </c>
      <c r="E13" s="93">
        <v>61008.532385524319</v>
      </c>
    </row>
    <row r="14" spans="1:7" ht="14.25" customHeight="1" x14ac:dyDescent="0.3">
      <c r="A14" s="251" t="s">
        <v>32</v>
      </c>
      <c r="B14" s="252"/>
      <c r="C14" s="92">
        <v>79144.485607339884</v>
      </c>
      <c r="D14" s="78">
        <v>8793.8317341488764</v>
      </c>
      <c r="E14" s="93">
        <v>87938.317341488757</v>
      </c>
    </row>
    <row r="15" spans="1:7" ht="14.25" customHeight="1" thickBot="1" x14ac:dyDescent="0.35">
      <c r="A15" s="259" t="s">
        <v>33</v>
      </c>
      <c r="B15" s="260"/>
      <c r="C15" s="92">
        <f>180075.310182509+0.2</f>
        <v>180075.51018250902</v>
      </c>
      <c r="D15" s="78">
        <f>20008.812242501-0.35</f>
        <v>20008.462242501002</v>
      </c>
      <c r="E15" s="97">
        <v>200084.12242501005</v>
      </c>
      <c r="G15" s="50" t="s">
        <v>50</v>
      </c>
    </row>
    <row r="16" spans="1:7" ht="14.25" customHeight="1" thickBot="1" x14ac:dyDescent="0.35">
      <c r="A16" s="261" t="s">
        <v>34</v>
      </c>
      <c r="B16" s="262"/>
      <c r="C16" s="57">
        <f>2684277.455+0.05</f>
        <v>2684277.5049999999</v>
      </c>
      <c r="D16" s="80">
        <f>298253.505-0.05</f>
        <v>298253.45500000002</v>
      </c>
      <c r="E16" s="81">
        <v>2982531.05</v>
      </c>
    </row>
    <row r="17" spans="1:9" ht="14.25" customHeight="1" thickBot="1" x14ac:dyDescent="0.35"/>
    <row r="18" spans="1:9" ht="14.25" customHeight="1" thickBot="1" x14ac:dyDescent="0.35">
      <c r="A18" s="34"/>
      <c r="B18" s="35"/>
      <c r="C18" s="300" t="s">
        <v>98</v>
      </c>
      <c r="D18" s="301"/>
      <c r="E18" s="302"/>
      <c r="F18" s="237" t="s">
        <v>18</v>
      </c>
      <c r="G18" s="266"/>
      <c r="H18" s="266"/>
      <c r="I18" s="238"/>
    </row>
    <row r="19" spans="1:9" ht="29.25" customHeight="1" thickBot="1" x14ac:dyDescent="0.35">
      <c r="A19" s="52"/>
      <c r="B19" s="53"/>
      <c r="C19" s="85" t="s">
        <v>46</v>
      </c>
      <c r="D19" s="84" t="s">
        <v>47</v>
      </c>
      <c r="E19" s="98" t="s">
        <v>48</v>
      </c>
      <c r="F19" s="99" t="s">
        <v>53</v>
      </c>
      <c r="G19" s="100" t="s">
        <v>20</v>
      </c>
      <c r="H19" s="100" t="s">
        <v>54</v>
      </c>
      <c r="I19" s="101" t="s">
        <v>20</v>
      </c>
    </row>
    <row r="20" spans="1:9" ht="14.25" customHeight="1" x14ac:dyDescent="0.3">
      <c r="A20" s="243" t="s">
        <v>22</v>
      </c>
      <c r="B20" s="244"/>
      <c r="C20" s="96">
        <v>563496.26531400101</v>
      </c>
      <c r="D20" s="205">
        <v>62610.696146000111</v>
      </c>
      <c r="E20" s="207">
        <v>626106.96146000107</v>
      </c>
      <c r="F20" s="102">
        <v>504595</v>
      </c>
      <c r="G20" s="103">
        <f>C20-F20</f>
        <v>58901.265314001008</v>
      </c>
      <c r="H20" s="104">
        <v>56066</v>
      </c>
      <c r="I20" s="105">
        <f>D20-H20</f>
        <v>6544.6961460001112</v>
      </c>
    </row>
    <row r="21" spans="1:9" ht="14.25" customHeight="1" x14ac:dyDescent="0.3">
      <c r="A21" s="251" t="s">
        <v>23</v>
      </c>
      <c r="B21" s="252"/>
      <c r="C21" s="206">
        <v>1066530.0304098008</v>
      </c>
      <c r="D21" s="204">
        <v>118503.33671220011</v>
      </c>
      <c r="E21" s="208">
        <v>1185033.367122001</v>
      </c>
      <c r="F21" s="106">
        <v>955048</v>
      </c>
      <c r="G21" s="107">
        <f>C21-F21</f>
        <v>111482.03040980082</v>
      </c>
      <c r="H21" s="108">
        <v>106117</v>
      </c>
      <c r="I21" s="109">
        <f>D21-H21</f>
        <v>12386.336712200107</v>
      </c>
    </row>
    <row r="22" spans="1:9" ht="14.25" customHeight="1" x14ac:dyDescent="0.3">
      <c r="A22" s="251" t="s">
        <v>24</v>
      </c>
      <c r="B22" s="252"/>
      <c r="C22" s="206">
        <v>814176.70683271904</v>
      </c>
      <c r="D22" s="204">
        <v>90464.078536968795</v>
      </c>
      <c r="E22" s="208">
        <v>904640.78536968783</v>
      </c>
      <c r="F22" s="106">
        <v>729073</v>
      </c>
      <c r="G22" s="107">
        <f t="shared" ref="G22:G31" si="0">C22-F22</f>
        <v>85103.706832719035</v>
      </c>
      <c r="H22" s="110">
        <v>81008</v>
      </c>
      <c r="I22" s="109">
        <f t="shared" ref="I22:I31" si="1">D22-H22</f>
        <v>9456.0785369687947</v>
      </c>
    </row>
    <row r="23" spans="1:9" ht="14.25" customHeight="1" x14ac:dyDescent="0.3">
      <c r="A23" s="251" t="s">
        <v>25</v>
      </c>
      <c r="B23" s="252"/>
      <c r="C23" s="206">
        <v>1582924.183434519</v>
      </c>
      <c r="D23" s="204">
        <v>175880.03704827986</v>
      </c>
      <c r="E23" s="208">
        <v>1758803.8704827987</v>
      </c>
      <c r="F23" s="106">
        <v>1417465</v>
      </c>
      <c r="G23" s="107">
        <f t="shared" si="0"/>
        <v>165459.18343451899</v>
      </c>
      <c r="H23" s="110">
        <v>157496</v>
      </c>
      <c r="I23" s="109">
        <f t="shared" si="1"/>
        <v>18384.037048279861</v>
      </c>
    </row>
    <row r="24" spans="1:9" ht="14.25" customHeight="1" x14ac:dyDescent="0.3">
      <c r="A24" s="251" t="s">
        <v>26</v>
      </c>
      <c r="B24" s="252"/>
      <c r="C24" s="206">
        <v>4126251.570621701</v>
      </c>
      <c r="D24" s="204">
        <v>458472.39673574455</v>
      </c>
      <c r="E24" s="208">
        <v>4584723.9673574455</v>
      </c>
      <c r="F24" s="106">
        <v>3694945</v>
      </c>
      <c r="G24" s="107">
        <f t="shared" si="0"/>
        <v>431306.57062170096</v>
      </c>
      <c r="H24" s="110">
        <v>410550</v>
      </c>
      <c r="I24" s="109">
        <f t="shared" si="1"/>
        <v>47922.396735744551</v>
      </c>
    </row>
    <row r="25" spans="1:9" ht="14.25" customHeight="1" x14ac:dyDescent="0.3">
      <c r="A25" s="251" t="s">
        <v>27</v>
      </c>
      <c r="B25" s="252"/>
      <c r="C25" s="206">
        <v>1666999.7763154577</v>
      </c>
      <c r="D25" s="204">
        <v>185222.19736838422</v>
      </c>
      <c r="E25" s="208">
        <v>1852221.973683842</v>
      </c>
      <c r="F25" s="106">
        <v>1492753</v>
      </c>
      <c r="G25" s="107">
        <f t="shared" si="0"/>
        <v>174246.77631545765</v>
      </c>
      <c r="H25" s="110">
        <v>165861</v>
      </c>
      <c r="I25" s="109">
        <f t="shared" si="1"/>
        <v>19361.197368384223</v>
      </c>
    </row>
    <row r="26" spans="1:9" ht="14.25" customHeight="1" x14ac:dyDescent="0.3">
      <c r="A26" s="251" t="s">
        <v>28</v>
      </c>
      <c r="B26" s="252"/>
      <c r="C26" s="206">
        <v>1156867.6374465958</v>
      </c>
      <c r="D26" s="204">
        <v>128540.85416073288</v>
      </c>
      <c r="E26" s="208">
        <v>1285408.5416073287</v>
      </c>
      <c r="F26" s="106">
        <v>1035943</v>
      </c>
      <c r="G26" s="107">
        <f t="shared" si="0"/>
        <v>120924.63744659582</v>
      </c>
      <c r="H26" s="108">
        <v>115105</v>
      </c>
      <c r="I26" s="109">
        <f t="shared" si="1"/>
        <v>13435.854160732881</v>
      </c>
    </row>
    <row r="27" spans="1:9" ht="14.25" customHeight="1" x14ac:dyDescent="0.3">
      <c r="A27" s="251" t="s">
        <v>29</v>
      </c>
      <c r="B27" s="252"/>
      <c r="C27" s="206">
        <v>581908.48189496598</v>
      </c>
      <c r="D27" s="204">
        <v>64656.509099440664</v>
      </c>
      <c r="E27" s="208">
        <v>646565.09099440661</v>
      </c>
      <c r="F27" s="106">
        <v>521083</v>
      </c>
      <c r="G27" s="107">
        <f t="shared" si="0"/>
        <v>60825.481894965982</v>
      </c>
      <c r="H27" s="110">
        <v>57898</v>
      </c>
      <c r="I27" s="109">
        <f t="shared" si="1"/>
        <v>6758.5090994406637</v>
      </c>
    </row>
    <row r="28" spans="1:9" ht="14.25" customHeight="1" x14ac:dyDescent="0.3">
      <c r="A28" s="251" t="s">
        <v>30</v>
      </c>
      <c r="B28" s="252"/>
      <c r="C28" s="206">
        <v>693971.87555022247</v>
      </c>
      <c r="D28" s="204">
        <v>77107.98617224695</v>
      </c>
      <c r="E28" s="208">
        <v>771079.86172246945</v>
      </c>
      <c r="F28" s="111">
        <v>621433</v>
      </c>
      <c r="G28" s="107">
        <f t="shared" si="0"/>
        <v>72538.875550222467</v>
      </c>
      <c r="H28" s="108">
        <v>69048</v>
      </c>
      <c r="I28" s="109">
        <f t="shared" si="1"/>
        <v>8059.9861722469504</v>
      </c>
    </row>
    <row r="29" spans="1:9" ht="14.25" customHeight="1" x14ac:dyDescent="0.3">
      <c r="A29" s="251" t="s">
        <v>31</v>
      </c>
      <c r="B29" s="252"/>
      <c r="C29" s="206">
        <v>283859.30102172215</v>
      </c>
      <c r="D29" s="204">
        <v>31539.922335746909</v>
      </c>
      <c r="E29" s="208">
        <v>315399.22335746908</v>
      </c>
      <c r="F29" s="106">
        <v>254188</v>
      </c>
      <c r="G29" s="107">
        <f t="shared" si="0"/>
        <v>29671.301021722145</v>
      </c>
      <c r="H29" s="110">
        <v>28243</v>
      </c>
      <c r="I29" s="109">
        <f t="shared" si="1"/>
        <v>3296.9223357469091</v>
      </c>
    </row>
    <row r="30" spans="1:9" ht="14.25" customHeight="1" x14ac:dyDescent="0.3">
      <c r="A30" s="251" t="s">
        <v>32</v>
      </c>
      <c r="B30" s="252"/>
      <c r="C30" s="206">
        <v>409159.18678082083</v>
      </c>
      <c r="D30" s="204">
        <v>45462.131864535651</v>
      </c>
      <c r="E30" s="208">
        <v>454621.31864535646</v>
      </c>
      <c r="F30" s="106">
        <v>366391</v>
      </c>
      <c r="G30" s="217">
        <f t="shared" si="0"/>
        <v>42768.186780820834</v>
      </c>
      <c r="H30" s="110">
        <v>40710</v>
      </c>
      <c r="I30" s="109">
        <f t="shared" si="1"/>
        <v>4752.1318645356514</v>
      </c>
    </row>
    <row r="31" spans="1:9" ht="14.25" customHeight="1" thickBot="1" x14ac:dyDescent="0.35">
      <c r="A31" s="259" t="s">
        <v>33</v>
      </c>
      <c r="B31" s="260"/>
      <c r="C31" s="206">
        <v>930949.68437747518</v>
      </c>
      <c r="D31" s="204">
        <v>103438.85381971947</v>
      </c>
      <c r="E31" s="208">
        <v>1034388.5381971947</v>
      </c>
      <c r="F31" s="154">
        <v>833640</v>
      </c>
      <c r="G31" s="155">
        <f t="shared" si="0"/>
        <v>97309.684377475176</v>
      </c>
      <c r="H31" s="156">
        <v>92627</v>
      </c>
      <c r="I31" s="157">
        <f t="shared" si="1"/>
        <v>10811.853819719472</v>
      </c>
    </row>
    <row r="32" spans="1:9" ht="14.25" customHeight="1" thickBot="1" x14ac:dyDescent="0.35">
      <c r="A32" s="261" t="s">
        <v>34</v>
      </c>
      <c r="B32" s="262"/>
      <c r="C32" s="173">
        <v>13877094.700000001</v>
      </c>
      <c r="D32" s="164">
        <v>1541899.0000000002</v>
      </c>
      <c r="E32" s="172">
        <v>15418993.5</v>
      </c>
      <c r="F32" s="158">
        <f>SUM(F20:F31)</f>
        <v>12426557</v>
      </c>
      <c r="G32" s="81">
        <f>SUM(G20:G31)</f>
        <v>1450537.7000000009</v>
      </c>
      <c r="H32" s="153">
        <f>SUM(H20:H31)</f>
        <v>1380729</v>
      </c>
      <c r="I32" s="159">
        <f>SUM(I20:I31)</f>
        <v>161170.00000000017</v>
      </c>
    </row>
    <row r="33" spans="1:11" ht="14.25" customHeight="1" x14ac:dyDescent="0.3">
      <c r="C33" s="86"/>
      <c r="D33" s="86"/>
      <c r="E33" s="86"/>
      <c r="I33" s="95"/>
    </row>
    <row r="34" spans="1:11" ht="14.25" customHeight="1" thickBot="1" x14ac:dyDescent="0.35">
      <c r="C34" s="86"/>
      <c r="D34" s="86"/>
      <c r="E34" s="86"/>
      <c r="I34" s="95"/>
    </row>
    <row r="35" spans="1:11" ht="14.25" customHeight="1" thickBot="1" x14ac:dyDescent="0.35">
      <c r="A35" s="112"/>
      <c r="B35" s="113"/>
      <c r="C35" s="327" t="s">
        <v>99</v>
      </c>
      <c r="D35" s="328"/>
      <c r="E35" s="329"/>
      <c r="F35" s="308"/>
      <c r="G35" s="308"/>
      <c r="H35" s="308"/>
      <c r="I35" s="308"/>
    </row>
    <row r="36" spans="1:11" ht="28.5" customHeight="1" thickBot="1" x14ac:dyDescent="0.35">
      <c r="A36" s="114"/>
      <c r="B36" s="115"/>
      <c r="C36" s="116" t="s">
        <v>46</v>
      </c>
      <c r="D36" s="117" t="s">
        <v>47</v>
      </c>
      <c r="E36" s="118" t="s">
        <v>48</v>
      </c>
      <c r="F36" s="222"/>
      <c r="G36" s="222"/>
      <c r="H36" s="222"/>
      <c r="I36" s="222"/>
    </row>
    <row r="37" spans="1:11" ht="14.25" customHeight="1" x14ac:dyDescent="0.3">
      <c r="A37" s="313" t="s">
        <v>22</v>
      </c>
      <c r="B37" s="314"/>
      <c r="C37" s="96">
        <v>672495.02118742582</v>
      </c>
      <c r="D37" s="210">
        <v>74721.446798602876</v>
      </c>
      <c r="E37" s="212">
        <v>747216.46798602864</v>
      </c>
      <c r="F37" s="221"/>
      <c r="G37" s="223"/>
      <c r="H37" s="220"/>
      <c r="I37" s="220"/>
      <c r="J37" s="95"/>
      <c r="K37" s="95"/>
    </row>
    <row r="38" spans="1:11" ht="14.25" customHeight="1" x14ac:dyDescent="0.3">
      <c r="A38" s="309" t="s">
        <v>23</v>
      </c>
      <c r="B38" s="310"/>
      <c r="C38" s="211">
        <v>1272832.3546166462</v>
      </c>
      <c r="D38" s="209">
        <v>141425.45606851624</v>
      </c>
      <c r="E38" s="213">
        <v>1414257.0606851624</v>
      </c>
      <c r="F38" s="221"/>
      <c r="G38" s="223"/>
      <c r="H38" s="220"/>
      <c r="I38" s="220"/>
      <c r="J38" s="95"/>
      <c r="K38" s="95"/>
    </row>
    <row r="39" spans="1:11" ht="14.25" customHeight="1" x14ac:dyDescent="0.3">
      <c r="A39" s="309" t="s">
        <v>24</v>
      </c>
      <c r="B39" s="310"/>
      <c r="C39" s="211">
        <v>971664.50495961483</v>
      </c>
      <c r="D39" s="209">
        <v>107962.75055106833</v>
      </c>
      <c r="E39" s="213">
        <v>1079627.5055106832</v>
      </c>
      <c r="F39" s="221"/>
      <c r="G39" s="223"/>
      <c r="H39" s="220"/>
      <c r="I39" s="220"/>
      <c r="J39" s="95"/>
      <c r="K39" s="95"/>
    </row>
    <row r="40" spans="1:11" ht="14.25" customHeight="1" x14ac:dyDescent="0.3">
      <c r="A40" s="309" t="s">
        <v>25</v>
      </c>
      <c r="B40" s="310"/>
      <c r="C40" s="211">
        <v>1889111.8651832954</v>
      </c>
      <c r="D40" s="209">
        <v>209901.32946481064</v>
      </c>
      <c r="E40" s="213">
        <v>2099013.2946481062</v>
      </c>
      <c r="F40" s="221"/>
      <c r="G40" s="223"/>
      <c r="H40" s="220"/>
      <c r="I40" s="220"/>
      <c r="J40" s="95"/>
      <c r="K40" s="95"/>
    </row>
    <row r="41" spans="1:11" ht="14.25" customHeight="1" x14ac:dyDescent="0.3">
      <c r="A41" s="309" t="s">
        <v>26</v>
      </c>
      <c r="B41" s="310"/>
      <c r="C41" s="211">
        <v>4924401.9362026444</v>
      </c>
      <c r="D41" s="209">
        <v>547155.49291140493</v>
      </c>
      <c r="E41" s="213">
        <v>5471557.4291140493</v>
      </c>
      <c r="F41" s="221"/>
      <c r="G41" s="223"/>
      <c r="H41" s="220"/>
      <c r="I41" s="220"/>
      <c r="J41" s="95"/>
      <c r="K41" s="95"/>
    </row>
    <row r="42" spans="1:11" ht="14.25" customHeight="1" x14ac:dyDescent="0.3">
      <c r="A42" s="309" t="s">
        <v>27</v>
      </c>
      <c r="B42" s="310"/>
      <c r="C42" s="211">
        <v>1989451.3762021994</v>
      </c>
      <c r="D42" s="209">
        <v>221050.14735579994</v>
      </c>
      <c r="E42" s="213">
        <v>2210501.4735579994</v>
      </c>
      <c r="F42" s="221"/>
      <c r="G42" s="223"/>
      <c r="H42" s="220"/>
      <c r="I42" s="220"/>
      <c r="J42" s="95"/>
      <c r="K42" s="95"/>
    </row>
    <row r="43" spans="1:11" ht="14.25" customHeight="1" x14ac:dyDescent="0.3">
      <c r="A43" s="309" t="s">
        <v>28</v>
      </c>
      <c r="B43" s="310"/>
      <c r="C43" s="211">
        <v>1380643.1796698561</v>
      </c>
      <c r="D43" s="209">
        <v>153404.8032966507</v>
      </c>
      <c r="E43" s="213">
        <v>1534048.0329665069</v>
      </c>
      <c r="F43" s="221"/>
      <c r="G43" s="223"/>
      <c r="H43" s="220"/>
      <c r="I43" s="220"/>
      <c r="J43" s="95"/>
      <c r="K43" s="95"/>
    </row>
    <row r="44" spans="1:11" ht="14.25" customHeight="1" x14ac:dyDescent="0.3">
      <c r="A44" s="309" t="s">
        <v>29</v>
      </c>
      <c r="B44" s="310"/>
      <c r="C44" s="211">
        <v>694468.52949684765</v>
      </c>
      <c r="D44" s="209">
        <v>77163.164388538629</v>
      </c>
      <c r="E44" s="213">
        <v>771631.64388538629</v>
      </c>
      <c r="F44" s="221"/>
      <c r="G44" s="223"/>
      <c r="H44" s="220"/>
      <c r="I44" s="220"/>
      <c r="J44" s="95"/>
      <c r="K44" s="95"/>
    </row>
    <row r="45" spans="1:11" ht="14.25" customHeight="1" x14ac:dyDescent="0.3">
      <c r="A45" s="309" t="s">
        <v>30</v>
      </c>
      <c r="B45" s="310"/>
      <c r="C45" s="211">
        <v>828208.08036463195</v>
      </c>
      <c r="D45" s="209">
        <v>92023.508929403557</v>
      </c>
      <c r="E45" s="213">
        <v>920231.58929403545</v>
      </c>
      <c r="F45" s="221"/>
      <c r="G45" s="223"/>
      <c r="H45" s="220"/>
      <c r="I45" s="220"/>
      <c r="J45" s="95"/>
      <c r="K45" s="95"/>
    </row>
    <row r="46" spans="1:11" ht="14.25" customHeight="1" x14ac:dyDescent="0.3">
      <c r="A46" s="309" t="s">
        <v>31</v>
      </c>
      <c r="B46" s="310"/>
      <c r="C46" s="211">
        <v>338766.98016869405</v>
      </c>
      <c r="D46" s="209">
        <v>37640.775574299339</v>
      </c>
      <c r="E46" s="213">
        <v>376407.75574299338</v>
      </c>
      <c r="F46" s="221"/>
      <c r="G46" s="223"/>
      <c r="H46" s="220"/>
      <c r="I46" s="220"/>
      <c r="J46" s="95"/>
      <c r="K46" s="95"/>
    </row>
    <row r="47" spans="1:11" ht="14.25" customHeight="1" x14ac:dyDescent="0.3">
      <c r="A47" s="309" t="s">
        <v>32</v>
      </c>
      <c r="B47" s="310"/>
      <c r="C47" s="211">
        <v>488304.12238816073</v>
      </c>
      <c r="D47" s="209">
        <v>54255.513598684527</v>
      </c>
      <c r="E47" s="213">
        <v>542559.63598684524</v>
      </c>
      <c r="F47" s="221"/>
      <c r="G47" s="223"/>
      <c r="H47" s="220"/>
      <c r="I47" s="220"/>
      <c r="J47" s="95"/>
      <c r="K47" s="95"/>
    </row>
    <row r="48" spans="1:11" ht="14.25" customHeight="1" thickBot="1" x14ac:dyDescent="0.35">
      <c r="A48" s="311" t="s">
        <v>33</v>
      </c>
      <c r="B48" s="312"/>
      <c r="C48" s="211">
        <v>1111024.9945599842</v>
      </c>
      <c r="D48" s="209">
        <v>123447.66606222047</v>
      </c>
      <c r="E48" s="97">
        <v>1234472.6606222047</v>
      </c>
      <c r="F48" s="221"/>
      <c r="G48" s="223"/>
      <c r="H48" s="220"/>
      <c r="I48" s="220"/>
      <c r="J48" s="95"/>
      <c r="K48" s="95"/>
    </row>
    <row r="49" spans="1:11" ht="14.25" customHeight="1" thickBot="1" x14ac:dyDescent="0.35">
      <c r="A49" s="306" t="s">
        <v>34</v>
      </c>
      <c r="B49" s="307"/>
      <c r="C49" s="173">
        <v>16561372.945000002</v>
      </c>
      <c r="D49" s="164">
        <v>1840152.0549999999</v>
      </c>
      <c r="E49" s="172">
        <v>18401524.550000001</v>
      </c>
      <c r="F49" s="224"/>
      <c r="G49" s="225"/>
      <c r="H49" s="226"/>
      <c r="I49" s="226"/>
      <c r="J49" s="95"/>
      <c r="K49" s="95"/>
    </row>
  </sheetData>
  <mergeCells count="45">
    <mergeCell ref="A47:B47"/>
    <mergeCell ref="A48:B48"/>
    <mergeCell ref="A49:B49"/>
    <mergeCell ref="A41:B41"/>
    <mergeCell ref="A42:B42"/>
    <mergeCell ref="A43:B43"/>
    <mergeCell ref="A44:B44"/>
    <mergeCell ref="A45:B45"/>
    <mergeCell ref="A46:B46"/>
    <mergeCell ref="C35:E35"/>
    <mergeCell ref="F35:I35"/>
    <mergeCell ref="A37:B37"/>
    <mergeCell ref="A38:B38"/>
    <mergeCell ref="A39:B39"/>
    <mergeCell ref="A40:B40"/>
    <mergeCell ref="A27:B27"/>
    <mergeCell ref="A28:B28"/>
    <mergeCell ref="A29:B29"/>
    <mergeCell ref="A30:B30"/>
    <mergeCell ref="A31:B31"/>
    <mergeCell ref="A32:B32"/>
    <mergeCell ref="A26:B26"/>
    <mergeCell ref="A14:B14"/>
    <mergeCell ref="A15:B15"/>
    <mergeCell ref="A16:B16"/>
    <mergeCell ref="C18:E18"/>
    <mergeCell ref="A21:B21"/>
    <mergeCell ref="A22:B22"/>
    <mergeCell ref="A23:B23"/>
    <mergeCell ref="A24:B24"/>
    <mergeCell ref="A25:B25"/>
    <mergeCell ref="F18:I18"/>
    <mergeCell ref="A20:B20"/>
    <mergeCell ref="A8:B8"/>
    <mergeCell ref="A9:B9"/>
    <mergeCell ref="A10:B10"/>
    <mergeCell ref="A11:B11"/>
    <mergeCell ref="A12:B12"/>
    <mergeCell ref="A13:B13"/>
    <mergeCell ref="A7:B7"/>
    <mergeCell ref="A1:B1"/>
    <mergeCell ref="C2:E2"/>
    <mergeCell ref="A4:B4"/>
    <mergeCell ref="A5:B5"/>
    <mergeCell ref="A6:B6"/>
  </mergeCells>
  <printOptions horizontalCentered="1" verticalCentered="1"/>
  <pageMargins left="0" right="0" top="0.75" bottom="0" header="0.3" footer="0.3"/>
  <pageSetup scale="75" orientation="landscape" horizontalDpi="300" verticalDpi="300" r:id="rId1"/>
  <headerFooter>
    <oddHeader>&amp;C&amp;"-,Bold"&amp;12
WIA Dislocated Worker Local Allocation Summary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51"/>
  <sheetViews>
    <sheetView view="pageLayout" topLeftCell="A16" zoomScaleNormal="100" workbookViewId="0">
      <selection activeCell="D50" activeCellId="8" sqref="D4 D8 D14 D19:D22 D26 D32 D37 D47 D50"/>
    </sheetView>
  </sheetViews>
  <sheetFormatPr defaultColWidth="9.109375" defaultRowHeight="14.4" x14ac:dyDescent="0.3"/>
  <cols>
    <col min="1" max="1" width="18.33203125" style="50" customWidth="1"/>
    <col min="2" max="3" width="13" style="50" customWidth="1"/>
    <col min="4" max="4" width="16.6640625" style="50" bestFit="1" customWidth="1"/>
    <col min="5" max="5" width="14.44140625" style="50" customWidth="1"/>
    <col min="6" max="6" width="13.5546875" style="50" customWidth="1"/>
    <col min="7" max="16384" width="9.109375" style="50"/>
  </cols>
  <sheetData>
    <row r="1" spans="1:6" ht="15" thickBot="1" x14ac:dyDescent="0.35">
      <c r="A1" s="119" t="s">
        <v>0</v>
      </c>
      <c r="B1" s="62" t="str">
        <f>'[1]Data Entry'!B1</f>
        <v>PY 2011</v>
      </c>
    </row>
    <row r="2" spans="1:6" ht="14.25" customHeight="1" x14ac:dyDescent="0.3">
      <c r="A2" s="120"/>
      <c r="B2" s="315" t="s">
        <v>55</v>
      </c>
      <c r="C2" s="316" t="s">
        <v>56</v>
      </c>
      <c r="D2" s="318" t="s">
        <v>57</v>
      </c>
      <c r="E2" s="319" t="s">
        <v>93</v>
      </c>
      <c r="F2" s="321" t="s">
        <v>94</v>
      </c>
    </row>
    <row r="3" spans="1:6" ht="14.25" customHeight="1" thickBot="1" x14ac:dyDescent="0.35">
      <c r="A3" s="121"/>
      <c r="B3" s="276"/>
      <c r="C3" s="317"/>
      <c r="D3" s="278"/>
      <c r="E3" s="320"/>
      <c r="F3" s="322"/>
    </row>
    <row r="4" spans="1:6" ht="14.25" customHeight="1" x14ac:dyDescent="0.3">
      <c r="A4" s="122" t="s">
        <v>22</v>
      </c>
      <c r="B4" s="171">
        <v>4.0606252251143095E-2</v>
      </c>
      <c r="C4" s="169">
        <v>1.0000000097392954</v>
      </c>
      <c r="D4" s="200">
        <v>747217.06798602862</v>
      </c>
      <c r="E4" s="148">
        <v>681771</v>
      </c>
      <c r="F4" s="152">
        <f>D4-E4</f>
        <v>65446.067986028618</v>
      </c>
    </row>
    <row r="5" spans="1:6" ht="14.25" customHeight="1" x14ac:dyDescent="0.3">
      <c r="A5" s="123" t="s">
        <v>58</v>
      </c>
      <c r="B5" s="194">
        <v>8.8126485412764587E-3</v>
      </c>
      <c r="C5" s="195">
        <v>0.21702685496496699</v>
      </c>
      <c r="D5" s="201">
        <v>162166.1702411517</v>
      </c>
      <c r="E5" s="149">
        <v>147962</v>
      </c>
      <c r="F5" s="79">
        <f>D5-E5</f>
        <v>14204.170241151704</v>
      </c>
    </row>
    <row r="6" spans="1:6" ht="14.25" customHeight="1" x14ac:dyDescent="0.3">
      <c r="A6" s="123" t="s">
        <v>59</v>
      </c>
      <c r="B6" s="194">
        <v>3.5502386077447185E-3</v>
      </c>
      <c r="C6" s="195">
        <v>8.7430823526571458E-2</v>
      </c>
      <c r="D6" s="201">
        <v>65329.803607128619</v>
      </c>
      <c r="E6" s="149">
        <v>59608</v>
      </c>
      <c r="F6" s="79">
        <f t="shared" ref="F6:F50" si="0">D6-E6</f>
        <v>5721.8036071286188</v>
      </c>
    </row>
    <row r="7" spans="1:6" ht="14.25" customHeight="1" x14ac:dyDescent="0.3">
      <c r="A7" s="123" t="s">
        <v>60</v>
      </c>
      <c r="B7" s="194">
        <v>2.8243364706645641E-2</v>
      </c>
      <c r="C7" s="195">
        <v>0.69554216161036431</v>
      </c>
      <c r="D7" s="201">
        <v>519720.97465916083</v>
      </c>
      <c r="E7" s="149">
        <v>474201</v>
      </c>
      <c r="F7" s="79">
        <f t="shared" si="0"/>
        <v>45519.974659160827</v>
      </c>
    </row>
    <row r="8" spans="1:6" ht="14.25" customHeight="1" x14ac:dyDescent="0.3">
      <c r="A8" s="124" t="s">
        <v>23</v>
      </c>
      <c r="B8" s="184">
        <v>7.6855426756336304E-2</v>
      </c>
      <c r="C8" s="166">
        <v>1.0000000097392954</v>
      </c>
      <c r="D8" s="199">
        <v>1414257.0606851627</v>
      </c>
      <c r="E8" s="150">
        <v>1290389</v>
      </c>
      <c r="F8" s="125">
        <f t="shared" si="0"/>
        <v>123868.06068516267</v>
      </c>
    </row>
    <row r="9" spans="1:6" ht="14.25" customHeight="1" x14ac:dyDescent="0.3">
      <c r="A9" s="126" t="s">
        <v>61</v>
      </c>
      <c r="B9" s="194">
        <v>1.3515132988391762E-2</v>
      </c>
      <c r="C9" s="195">
        <v>0.17585139829679644</v>
      </c>
      <c r="D9" s="201">
        <v>248699.06408746334</v>
      </c>
      <c r="E9" s="149">
        <v>226917</v>
      </c>
      <c r="F9" s="79">
        <f t="shared" si="0"/>
        <v>21782.064087463339</v>
      </c>
    </row>
    <row r="10" spans="1:6" ht="14.25" customHeight="1" x14ac:dyDescent="0.3">
      <c r="A10" s="126" t="s">
        <v>62</v>
      </c>
      <c r="B10" s="194">
        <v>1.677761294109292E-2</v>
      </c>
      <c r="C10" s="195">
        <v>0.2183009740494383</v>
      </c>
      <c r="D10" s="201">
        <v>308733.67207376915</v>
      </c>
      <c r="E10" s="149">
        <v>281693</v>
      </c>
      <c r="F10" s="79">
        <f t="shared" si="0"/>
        <v>27040.67207376915</v>
      </c>
    </row>
    <row r="11" spans="1:6" ht="14.25" customHeight="1" x14ac:dyDescent="0.3">
      <c r="A11" s="126" t="s">
        <v>63</v>
      </c>
      <c r="B11" s="194">
        <v>9.1603527301454182E-3</v>
      </c>
      <c r="C11" s="195">
        <v>0.1191894181042486</v>
      </c>
      <c r="D11" s="201">
        <v>168564.46419394773</v>
      </c>
      <c r="E11" s="149">
        <v>153801</v>
      </c>
      <c r="F11" s="79">
        <f t="shared" si="0"/>
        <v>14763.46419394773</v>
      </c>
    </row>
    <row r="12" spans="1:6" ht="14.25" customHeight="1" x14ac:dyDescent="0.3">
      <c r="A12" s="126" t="s">
        <v>64</v>
      </c>
      <c r="B12" s="194">
        <v>5.9562341553989744E-3</v>
      </c>
      <c r="C12" s="195">
        <v>7.7499208162411515E-2</v>
      </c>
      <c r="D12" s="201">
        <v>109603.79459127886</v>
      </c>
      <c r="E12" s="149">
        <v>100004</v>
      </c>
      <c r="F12" s="79">
        <f t="shared" si="0"/>
        <v>9599.7945912788564</v>
      </c>
    </row>
    <row r="13" spans="1:6" ht="14.25" customHeight="1" x14ac:dyDescent="0.3">
      <c r="A13" s="126" t="s">
        <v>65</v>
      </c>
      <c r="B13" s="194">
        <v>3.1446093192789536E-2</v>
      </c>
      <c r="C13" s="195">
        <v>0.40915908586863536</v>
      </c>
      <c r="D13" s="201">
        <v>578656.0852172958</v>
      </c>
      <c r="E13" s="149">
        <v>527974</v>
      </c>
      <c r="F13" s="79">
        <f t="shared" si="0"/>
        <v>50682.085217295797</v>
      </c>
    </row>
    <row r="14" spans="1:6" ht="14.25" customHeight="1" x14ac:dyDescent="0.3">
      <c r="A14" s="124" t="s">
        <v>24</v>
      </c>
      <c r="B14" s="184">
        <v>5.8670545108470938E-2</v>
      </c>
      <c r="C14" s="166">
        <v>1.0000000097392951</v>
      </c>
      <c r="D14" s="199">
        <v>1079627.5055106829</v>
      </c>
      <c r="E14" s="150">
        <v>985068</v>
      </c>
      <c r="F14" s="125">
        <f t="shared" si="0"/>
        <v>94559.505510682939</v>
      </c>
    </row>
    <row r="15" spans="1:6" ht="14.25" customHeight="1" x14ac:dyDescent="0.3">
      <c r="A15" s="126" t="s">
        <v>66</v>
      </c>
      <c r="B15" s="194">
        <v>7.5464661398244063E-3</v>
      </c>
      <c r="C15" s="195">
        <v>0.12862444348130142</v>
      </c>
      <c r="D15" s="201">
        <v>138866.48706341733</v>
      </c>
      <c r="E15" s="149">
        <v>126704</v>
      </c>
      <c r="F15" s="79">
        <f t="shared" si="0"/>
        <v>12162.487063417328</v>
      </c>
    </row>
    <row r="16" spans="1:6" ht="14.25" customHeight="1" x14ac:dyDescent="0.3">
      <c r="A16" s="126" t="s">
        <v>67</v>
      </c>
      <c r="B16" s="194">
        <v>1.4560377606347278E-3</v>
      </c>
      <c r="C16" s="195">
        <v>2.4817185047856054E-2</v>
      </c>
      <c r="D16" s="201">
        <v>26793.515587013859</v>
      </c>
      <c r="E16" s="149">
        <v>24447</v>
      </c>
      <c r="F16" s="79">
        <f t="shared" si="0"/>
        <v>2346.5155870138587</v>
      </c>
    </row>
    <row r="17" spans="1:6" ht="14.25" customHeight="1" x14ac:dyDescent="0.3">
      <c r="A17" s="126" t="s">
        <v>68</v>
      </c>
      <c r="B17" s="194">
        <v>2.073810247629311E-2</v>
      </c>
      <c r="C17" s="195">
        <v>0.35346701892622118</v>
      </c>
      <c r="D17" s="201">
        <v>381612.71592361364</v>
      </c>
      <c r="E17" s="149">
        <v>348189</v>
      </c>
      <c r="F17" s="79">
        <f t="shared" si="0"/>
        <v>33423.715923613636</v>
      </c>
    </row>
    <row r="18" spans="1:6" ht="14.25" customHeight="1" x14ac:dyDescent="0.3">
      <c r="A18" s="126" t="s">
        <v>69</v>
      </c>
      <c r="B18" s="194">
        <v>2.8929938160308945E-2</v>
      </c>
      <c r="C18" s="195">
        <v>0.49309135254462128</v>
      </c>
      <c r="D18" s="201">
        <v>532354.93693663832</v>
      </c>
      <c r="E18" s="149">
        <v>485728</v>
      </c>
      <c r="F18" s="79">
        <f t="shared" si="0"/>
        <v>46626.936936638318</v>
      </c>
    </row>
    <row r="19" spans="1:6" ht="14.25" customHeight="1" x14ac:dyDescent="0.3">
      <c r="A19" s="124" t="s">
        <v>25</v>
      </c>
      <c r="B19" s="184">
        <v>0.11406735522978331</v>
      </c>
      <c r="C19" s="192">
        <v>1</v>
      </c>
      <c r="D19" s="199">
        <v>2099013.2946481062</v>
      </c>
      <c r="E19" s="150">
        <v>1915170</v>
      </c>
      <c r="F19" s="125">
        <f t="shared" si="0"/>
        <v>183843.29464810621</v>
      </c>
    </row>
    <row r="20" spans="1:6" ht="14.25" customHeight="1" x14ac:dyDescent="0.3">
      <c r="A20" s="124" t="s">
        <v>26</v>
      </c>
      <c r="B20" s="184">
        <v>0.29734261232408282</v>
      </c>
      <c r="C20" s="192">
        <v>1</v>
      </c>
      <c r="D20" s="199">
        <v>5471557.5291140489</v>
      </c>
      <c r="E20" s="150">
        <v>4992328</v>
      </c>
      <c r="F20" s="125">
        <f t="shared" si="0"/>
        <v>479229.52911404893</v>
      </c>
    </row>
    <row r="21" spans="1:6" ht="14.25" customHeight="1" x14ac:dyDescent="0.3">
      <c r="A21" s="124" t="s">
        <v>27</v>
      </c>
      <c r="B21" s="184">
        <v>0.12012599322891442</v>
      </c>
      <c r="C21" s="192">
        <v>1</v>
      </c>
      <c r="D21" s="199">
        <v>2210501.4735579989</v>
      </c>
      <c r="E21" s="150">
        <v>2016893</v>
      </c>
      <c r="F21" s="125">
        <f t="shared" si="0"/>
        <v>193608.47355799889</v>
      </c>
    </row>
    <row r="22" spans="1:6" ht="14.25" customHeight="1" x14ac:dyDescent="0.3">
      <c r="A22" s="124" t="s">
        <v>28</v>
      </c>
      <c r="B22" s="184">
        <v>8.3365266128662893E-2</v>
      </c>
      <c r="C22" s="193">
        <v>1.0000000097392954</v>
      </c>
      <c r="D22" s="199">
        <v>1534048.0329665069</v>
      </c>
      <c r="E22" s="150">
        <v>1399687</v>
      </c>
      <c r="F22" s="125">
        <f t="shared" si="0"/>
        <v>134361.0329665069</v>
      </c>
    </row>
    <row r="23" spans="1:6" ht="14.25" customHeight="1" x14ac:dyDescent="0.3">
      <c r="A23" s="127" t="s">
        <v>70</v>
      </c>
      <c r="B23" s="194">
        <v>6.0232363363363878E-2</v>
      </c>
      <c r="C23" s="195">
        <v>0.72251133683807545</v>
      </c>
      <c r="D23" s="201">
        <v>1108367.5118258519</v>
      </c>
      <c r="E23" s="149">
        <v>1011290</v>
      </c>
      <c r="F23" s="79">
        <f t="shared" si="0"/>
        <v>97077.511825851863</v>
      </c>
    </row>
    <row r="24" spans="1:6" ht="14.25" customHeight="1" x14ac:dyDescent="0.3">
      <c r="A24" s="127" t="s">
        <v>71</v>
      </c>
      <c r="B24" s="194">
        <v>2.2425286736538017E-2</v>
      </c>
      <c r="C24" s="195">
        <v>0.26900030140355363</v>
      </c>
      <c r="D24" s="201">
        <v>412659.46393560938</v>
      </c>
      <c r="E24" s="149">
        <v>376516</v>
      </c>
      <c r="F24" s="79">
        <f t="shared" si="0"/>
        <v>36143.463935609383</v>
      </c>
    </row>
    <row r="25" spans="1:6" ht="14.25" customHeight="1" x14ac:dyDescent="0.3">
      <c r="A25" s="127" t="s">
        <v>72</v>
      </c>
      <c r="B25" s="194">
        <v>7.0761521684205905E-4</v>
      </c>
      <c r="C25" s="195">
        <v>8.4881281048734807E-3</v>
      </c>
      <c r="D25" s="201">
        <v>13021.198769287319</v>
      </c>
      <c r="E25" s="149">
        <v>11881</v>
      </c>
      <c r="F25" s="79">
        <f t="shared" si="0"/>
        <v>1140.198769287319</v>
      </c>
    </row>
    <row r="26" spans="1:6" ht="14.25" customHeight="1" x14ac:dyDescent="0.3">
      <c r="A26" s="124" t="s">
        <v>29</v>
      </c>
      <c r="B26" s="184">
        <v>4.1933026843630344E-2</v>
      </c>
      <c r="C26" s="166">
        <v>1.0000000097392954</v>
      </c>
      <c r="D26" s="199">
        <v>771631.64388538629</v>
      </c>
      <c r="E26" s="150">
        <v>704048</v>
      </c>
      <c r="F26" s="125">
        <f t="shared" si="0"/>
        <v>67583.643885386293</v>
      </c>
    </row>
    <row r="27" spans="1:6" ht="14.25" customHeight="1" x14ac:dyDescent="0.3">
      <c r="A27" s="127" t="s">
        <v>73</v>
      </c>
      <c r="B27" s="194">
        <v>2.5054611011379405E-3</v>
      </c>
      <c r="C27" s="195">
        <v>5.9749112194602938E-2</v>
      </c>
      <c r="D27" s="201">
        <v>46104.305663413841</v>
      </c>
      <c r="E27" s="149">
        <v>42066</v>
      </c>
      <c r="F27" s="79">
        <f t="shared" si="0"/>
        <v>4038.3056634138411</v>
      </c>
    </row>
    <row r="28" spans="1:6" ht="14.25" customHeight="1" x14ac:dyDescent="0.3">
      <c r="A28" s="127" t="s">
        <v>74</v>
      </c>
      <c r="B28" s="194">
        <v>1.2425694283629433E-2</v>
      </c>
      <c r="C28" s="195">
        <v>0.29632238214004364</v>
      </c>
      <c r="D28" s="201">
        <v>228651.77685075547</v>
      </c>
      <c r="E28" s="149">
        <v>208625</v>
      </c>
      <c r="F28" s="79">
        <f t="shared" si="0"/>
        <v>20026.776850755472</v>
      </c>
    </row>
    <row r="29" spans="1:6" ht="14.25" customHeight="1" x14ac:dyDescent="0.3">
      <c r="A29" s="127" t="s">
        <v>75</v>
      </c>
      <c r="B29" s="194">
        <v>5.5727302078045536E-3</v>
      </c>
      <c r="C29" s="195">
        <v>0.13289596963414818</v>
      </c>
      <c r="D29" s="201">
        <v>102546.73551454014</v>
      </c>
      <c r="E29" s="149">
        <v>93565</v>
      </c>
      <c r="F29" s="79">
        <f t="shared" si="0"/>
        <v>8981.735514540138</v>
      </c>
    </row>
    <row r="30" spans="1:6" ht="14.25" customHeight="1" x14ac:dyDescent="0.3">
      <c r="A30" s="127" t="s">
        <v>76</v>
      </c>
      <c r="B30" s="194">
        <v>1.4761956220260372E-2</v>
      </c>
      <c r="C30" s="195">
        <v>0.35203650857543034</v>
      </c>
      <c r="D30" s="201">
        <v>271642.50981973117</v>
      </c>
      <c r="E30" s="149">
        <v>247851</v>
      </c>
      <c r="F30" s="79">
        <f t="shared" si="0"/>
        <v>23791.509819731175</v>
      </c>
    </row>
    <row r="31" spans="1:6" ht="14.25" customHeight="1" x14ac:dyDescent="0.3">
      <c r="A31" s="127" t="s">
        <v>77</v>
      </c>
      <c r="B31" s="194">
        <v>6.6671846223999168E-3</v>
      </c>
      <c r="C31" s="195">
        <v>0.1589960274557749</v>
      </c>
      <c r="D31" s="201">
        <v>122686.3660369456</v>
      </c>
      <c r="E31" s="149">
        <v>111941</v>
      </c>
      <c r="F31" s="79">
        <f t="shared" si="0"/>
        <v>10745.366036945605</v>
      </c>
    </row>
    <row r="32" spans="1:6" ht="14.25" customHeight="1" x14ac:dyDescent="0.3">
      <c r="A32" s="124" t="s">
        <v>30</v>
      </c>
      <c r="B32" s="184">
        <v>5.0008441517407569E-2</v>
      </c>
      <c r="C32" s="166">
        <v>1.0000000097392954</v>
      </c>
      <c r="D32" s="199">
        <v>920231.58929403545</v>
      </c>
      <c r="E32" s="150">
        <v>839633</v>
      </c>
      <c r="F32" s="125">
        <f t="shared" si="0"/>
        <v>80598.589294035453</v>
      </c>
    </row>
    <row r="33" spans="1:6" ht="14.25" customHeight="1" x14ac:dyDescent="0.3">
      <c r="A33" s="127" t="s">
        <v>78</v>
      </c>
      <c r="B33" s="194">
        <v>5.2223391051634867E-3</v>
      </c>
      <c r="C33" s="195">
        <v>0.1044291590896643</v>
      </c>
      <c r="D33" s="201">
        <v>96099.005816263481</v>
      </c>
      <c r="E33" s="149">
        <v>87682</v>
      </c>
      <c r="F33" s="79">
        <f t="shared" si="0"/>
        <v>8417.0058162634814</v>
      </c>
    </row>
    <row r="34" spans="1:6" ht="14.25" customHeight="1" x14ac:dyDescent="0.3">
      <c r="A34" s="127" t="s">
        <v>79</v>
      </c>
      <c r="B34" s="194">
        <v>2.6495139044144583E-3</v>
      </c>
      <c r="C34" s="195">
        <v>5.2981337186780268E-2</v>
      </c>
      <c r="D34" s="201">
        <v>48755.09747324713</v>
      </c>
      <c r="E34" s="149">
        <v>44485</v>
      </c>
      <c r="F34" s="79">
        <f t="shared" si="0"/>
        <v>4270.0974732471295</v>
      </c>
    </row>
    <row r="35" spans="1:6" ht="14.25" customHeight="1" x14ac:dyDescent="0.3">
      <c r="A35" s="127" t="s">
        <v>80</v>
      </c>
      <c r="B35" s="194">
        <v>1.4999886316323231E-3</v>
      </c>
      <c r="C35" s="195">
        <v>2.9994710854862421E-2</v>
      </c>
      <c r="D35" s="201">
        <v>27602.078940649557</v>
      </c>
      <c r="E35" s="149">
        <v>25185</v>
      </c>
      <c r="F35" s="79">
        <f t="shared" si="0"/>
        <v>2417.0789406495569</v>
      </c>
    </row>
    <row r="36" spans="1:6" ht="14.25" customHeight="1" x14ac:dyDescent="0.3">
      <c r="A36" s="127" t="s">
        <v>81</v>
      </c>
      <c r="B36" s="194">
        <v>4.0636599389150325E-2</v>
      </c>
      <c r="C36" s="195">
        <v>0.8125948577863723</v>
      </c>
      <c r="D36" s="201">
        <v>747775.51680317114</v>
      </c>
      <c r="E36" s="149">
        <v>682281</v>
      </c>
      <c r="F36" s="79">
        <f t="shared" si="0"/>
        <v>65494.516803171136</v>
      </c>
    </row>
    <row r="37" spans="1:6" ht="14.25" customHeight="1" x14ac:dyDescent="0.3">
      <c r="A37" s="124" t="s">
        <v>31</v>
      </c>
      <c r="B37" s="184">
        <v>2.0455275023142355E-2</v>
      </c>
      <c r="C37" s="166">
        <v>1.0000001684481024</v>
      </c>
      <c r="D37" s="199">
        <v>376408.20574299339</v>
      </c>
      <c r="E37" s="150">
        <v>343440</v>
      </c>
      <c r="F37" s="125">
        <f t="shared" si="0"/>
        <v>32968.205742993392</v>
      </c>
    </row>
    <row r="38" spans="1:6" ht="14.25" customHeight="1" x14ac:dyDescent="0.3">
      <c r="A38" s="127" t="s">
        <v>82</v>
      </c>
      <c r="B38" s="167">
        <v>1.7291098149959615E-3</v>
      </c>
      <c r="C38" s="168">
        <v>8.4531243402008557E-2</v>
      </c>
      <c r="D38" s="201">
        <v>31818.257884736457</v>
      </c>
      <c r="E38" s="149">
        <v>29031</v>
      </c>
      <c r="F38" s="79">
        <f t="shared" si="0"/>
        <v>2787.2578847364566</v>
      </c>
    </row>
    <row r="39" spans="1:6" ht="14.25" customHeight="1" x14ac:dyDescent="0.3">
      <c r="A39" s="127" t="s">
        <v>83</v>
      </c>
      <c r="B39" s="167">
        <v>5.5161259165955744E-4</v>
      </c>
      <c r="C39" s="168">
        <v>2.6966765120869849E-2</v>
      </c>
      <c r="D39" s="201">
        <v>10150.513022177611</v>
      </c>
      <c r="E39" s="149">
        <v>9261</v>
      </c>
      <c r="F39" s="79">
        <f t="shared" si="0"/>
        <v>889.51302217761076</v>
      </c>
    </row>
    <row r="40" spans="1:6" ht="14.25" customHeight="1" x14ac:dyDescent="0.3">
      <c r="A40" s="127" t="s">
        <v>84</v>
      </c>
      <c r="B40" s="167">
        <v>1.1118091481590591E-3</v>
      </c>
      <c r="C40" s="168">
        <v>5.4353175781280683E-2</v>
      </c>
      <c r="D40" s="201">
        <v>20458.984089924172</v>
      </c>
      <c r="E40" s="149">
        <v>18667</v>
      </c>
      <c r="F40" s="79">
        <f t="shared" si="0"/>
        <v>1791.9840899241717</v>
      </c>
    </row>
    <row r="41" spans="1:6" ht="14.25" customHeight="1" x14ac:dyDescent="0.3">
      <c r="A41" s="127" t="s">
        <v>85</v>
      </c>
      <c r="B41" s="194">
        <v>1.5950758680958717E-4</v>
      </c>
      <c r="C41" s="195">
        <v>7.797870631542113E-3</v>
      </c>
      <c r="D41" s="201">
        <v>2935.1828829282808</v>
      </c>
      <c r="E41" s="149">
        <v>2678</v>
      </c>
      <c r="F41" s="79">
        <f t="shared" si="0"/>
        <v>257.18288292828083</v>
      </c>
    </row>
    <row r="42" spans="1:6" ht="14.25" customHeight="1" x14ac:dyDescent="0.3">
      <c r="A42" s="127" t="s">
        <v>86</v>
      </c>
      <c r="B42" s="194">
        <v>1.0454821034671332E-3</v>
      </c>
      <c r="C42" s="195">
        <v>5.1110635885685811E-2</v>
      </c>
      <c r="D42" s="201">
        <v>19238.465303646237</v>
      </c>
      <c r="E42" s="149">
        <v>17554</v>
      </c>
      <c r="F42" s="79">
        <f t="shared" si="0"/>
        <v>1684.4653036462369</v>
      </c>
    </row>
    <row r="43" spans="1:6" ht="14.25" customHeight="1" x14ac:dyDescent="0.3">
      <c r="A43" s="127" t="s">
        <v>87</v>
      </c>
      <c r="B43" s="194">
        <v>2.0774490817390776E-3</v>
      </c>
      <c r="C43" s="195">
        <v>0.10156055587723056</v>
      </c>
      <c r="D43" s="201">
        <v>38228.231690037166</v>
      </c>
      <c r="E43" s="149">
        <v>34880</v>
      </c>
      <c r="F43" s="79">
        <f t="shared" si="0"/>
        <v>3348.2316900371661</v>
      </c>
    </row>
    <row r="44" spans="1:6" ht="14.25" customHeight="1" x14ac:dyDescent="0.3">
      <c r="A44" s="127" t="s">
        <v>88</v>
      </c>
      <c r="B44" s="194">
        <v>6.4079871541111418E-3</v>
      </c>
      <c r="C44" s="195">
        <v>0.31326820144293621</v>
      </c>
      <c r="D44" s="201">
        <v>117916.73728488029</v>
      </c>
      <c r="E44" s="149">
        <v>107589</v>
      </c>
      <c r="F44" s="79">
        <f t="shared" si="0"/>
        <v>10327.737284880292</v>
      </c>
    </row>
    <row r="45" spans="1:6" ht="14.25" customHeight="1" x14ac:dyDescent="0.3">
      <c r="A45" s="127" t="s">
        <v>89</v>
      </c>
      <c r="B45" s="194">
        <v>5.4633089093589996E-3</v>
      </c>
      <c r="C45" s="195">
        <v>0.26708557848216607</v>
      </c>
      <c r="D45" s="201">
        <v>100533.21673058049</v>
      </c>
      <c r="E45" s="149">
        <v>91728</v>
      </c>
      <c r="F45" s="79">
        <f t="shared" si="0"/>
        <v>8805.2167305804905</v>
      </c>
    </row>
    <row r="46" spans="1:6" ht="14.25" customHeight="1" x14ac:dyDescent="0.3">
      <c r="A46" s="127" t="s">
        <v>90</v>
      </c>
      <c r="B46" s="194">
        <v>1.9090051871901536E-3</v>
      </c>
      <c r="C46" s="195">
        <v>9.3325814667499701E-2</v>
      </c>
      <c r="D46" s="201">
        <v>35128.557114787422</v>
      </c>
      <c r="E46" s="149">
        <v>32052</v>
      </c>
      <c r="F46" s="79">
        <f t="shared" si="0"/>
        <v>3076.5571147874216</v>
      </c>
    </row>
    <row r="47" spans="1:6" ht="14.25" customHeight="1" x14ac:dyDescent="0.3">
      <c r="A47" s="124" t="s">
        <v>32</v>
      </c>
      <c r="B47" s="184">
        <v>2.9484460364704677E-2</v>
      </c>
      <c r="C47" s="166">
        <v>1.0000000097392954</v>
      </c>
      <c r="D47" s="199">
        <v>542559.03598684527</v>
      </c>
      <c r="E47" s="150">
        <v>495039</v>
      </c>
      <c r="F47" s="125">
        <f t="shared" si="0"/>
        <v>47520.035986845265</v>
      </c>
    </row>
    <row r="48" spans="1:6" ht="14.25" customHeight="1" x14ac:dyDescent="0.3">
      <c r="A48" s="128" t="s">
        <v>91</v>
      </c>
      <c r="B48" s="194">
        <v>1.9415763272523524E-2</v>
      </c>
      <c r="C48" s="195">
        <v>0.65850835394164586</v>
      </c>
      <c r="D48" s="202">
        <v>357279.65770386369</v>
      </c>
      <c r="E48" s="149">
        <v>325987</v>
      </c>
      <c r="F48" s="79">
        <f t="shared" si="0"/>
        <v>31292.65770386369</v>
      </c>
    </row>
    <row r="49" spans="1:6" ht="14.25" customHeight="1" x14ac:dyDescent="0.3">
      <c r="A49" s="128" t="s">
        <v>92</v>
      </c>
      <c r="B49" s="194">
        <v>1.0068696805023288E-2</v>
      </c>
      <c r="C49" s="195">
        <v>0.34149164605835408</v>
      </c>
      <c r="D49" s="202">
        <v>185279.37828298155</v>
      </c>
      <c r="E49" s="149">
        <v>169052</v>
      </c>
      <c r="F49" s="79">
        <f t="shared" si="0"/>
        <v>16227.378282981546</v>
      </c>
    </row>
    <row r="50" spans="1:6" ht="14.25" customHeight="1" thickBot="1" x14ac:dyDescent="0.35">
      <c r="A50" s="129" t="s">
        <v>33</v>
      </c>
      <c r="B50" s="170">
        <v>6.7085345223721254E-2</v>
      </c>
      <c r="C50" s="174">
        <v>1</v>
      </c>
      <c r="D50" s="198">
        <v>1234472.6606222044</v>
      </c>
      <c r="E50" s="151">
        <v>1126351</v>
      </c>
      <c r="F50" s="130">
        <f t="shared" si="0"/>
        <v>108121.66062220442</v>
      </c>
    </row>
    <row r="51" spans="1:6" ht="14.25" customHeight="1" thickBot="1" x14ac:dyDescent="0.35">
      <c r="A51" s="131" t="s">
        <v>34</v>
      </c>
      <c r="B51" s="196">
        <v>0.99999999999999989</v>
      </c>
      <c r="C51" s="197"/>
      <c r="D51" s="203">
        <v>18401525.100000001</v>
      </c>
      <c r="E51" s="153">
        <f>SUM(E4,E8,E14,E19:E22,E26,E32,E37,E47,E50)</f>
        <v>16789817</v>
      </c>
      <c r="F51" s="81">
        <f>D51-E51</f>
        <v>1611708.1000000015</v>
      </c>
    </row>
  </sheetData>
  <mergeCells count="5">
    <mergeCell ref="B2:B3"/>
    <mergeCell ref="C2:C3"/>
    <mergeCell ref="D2:D3"/>
    <mergeCell ref="E2:E3"/>
    <mergeCell ref="F2:F3"/>
  </mergeCells>
  <printOptions horizontalCentered="1" verticalCentered="1"/>
  <pageMargins left="0" right="0" top="0.75" bottom="0" header="0.3" footer="0.3"/>
  <pageSetup orientation="portrait" horizontalDpi="300" verticalDpi="300" r:id="rId1"/>
  <headerFooter>
    <oddHeader>&amp;C&amp;"-,Bold"&amp;12
WIA Dislocated Worker Allocation by County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A352F9A7CB9C4898A9BE191B2E2840" ma:contentTypeVersion="0" ma:contentTypeDescription="Create a new document." ma:contentTypeScope="" ma:versionID="58488324afe645e8c4fc37aed17455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938CDE-E26A-4115-B898-A5687EBAD1A9}"/>
</file>

<file path=customXml/itemProps2.xml><?xml version="1.0" encoding="utf-8"?>
<ds:datastoreItem xmlns:ds="http://schemas.openxmlformats.org/officeDocument/2006/customXml" ds:itemID="{0AE25B34-8520-47EE-94F7-AD36ECFD8686}"/>
</file>

<file path=customXml/itemProps3.xml><?xml version="1.0" encoding="utf-8"?>
<ds:datastoreItem xmlns:ds="http://schemas.openxmlformats.org/officeDocument/2006/customXml" ds:itemID="{C587E11C-32C7-4EE0-B324-745099D52E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Planning Allocations</vt:lpstr>
      <vt:lpstr>Adult Allocation by WDA</vt:lpstr>
      <vt:lpstr>Adult Allocation Summary</vt:lpstr>
      <vt:lpstr>Adult Allocation by County</vt:lpstr>
      <vt:lpstr>DW Allocation by WDA</vt:lpstr>
      <vt:lpstr>DW Allocation Summary</vt:lpstr>
      <vt:lpstr>DW Allocation by County</vt:lpstr>
      <vt:lpstr>'Planning Allocations'!Print_Area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jcornell</dc:creator>
  <cp:lastModifiedBy>dfussell</cp:lastModifiedBy>
  <cp:lastPrinted>2011-11-04T23:29:52Z</cp:lastPrinted>
  <dcterms:created xsi:type="dcterms:W3CDTF">2011-11-01T14:39:29Z</dcterms:created>
  <dcterms:modified xsi:type="dcterms:W3CDTF">2017-05-18T00:04:26Z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0x01010011A352F9A7CB9C4898A9BE191B2E2840</vt:lpwstr>
  </property>
</Properties>
</file>